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5\Záverečný účet za rok 2015\"/>
    </mc:Choice>
  </mc:AlternateContent>
  <bookViews>
    <workbookView xWindow="0" yWindow="0" windowWidth="11310" windowHeight="3960" tabRatio="840"/>
  </bookViews>
  <sheets>
    <sheet name="Príjmy" sheetId="7" r:id="rId1"/>
    <sheet name="P1" sheetId="21" r:id="rId2"/>
    <sheet name="P2" sheetId="22" r:id="rId3"/>
    <sheet name="P3" sheetId="23" r:id="rId4"/>
    <sheet name="P4" sheetId="24" r:id="rId5"/>
    <sheet name="P5" sheetId="25" r:id="rId6"/>
    <sheet name="P6" sheetId="26" r:id="rId7"/>
    <sheet name="P7" sheetId="27" r:id="rId8"/>
    <sheet name="P8" sheetId="31" r:id="rId9"/>
    <sheet name="P9" sheetId="33" r:id="rId10"/>
    <sheet name="P10" sheetId="34" r:id="rId11"/>
    <sheet name="P11" sheetId="30" r:id="rId12"/>
    <sheet name="P12" sheetId="20" r:id="rId13"/>
    <sheet name="Sumarizácia" sheetId="15" r:id="rId14"/>
  </sheets>
  <definedNames>
    <definedName name="_xlnm._FilterDatabase" localSheetId="0" hidden="1">Príjmy!#REF!</definedName>
    <definedName name="_xlnm.Print_Area" localSheetId="1">'P1'!$C$25:$R$48</definedName>
    <definedName name="_xlnm.Print_Area" localSheetId="10">'P10'!$B$4:$P$42</definedName>
    <definedName name="_xlnm.Print_Area" localSheetId="11">'P11'!$B$2:$P$144</definedName>
    <definedName name="_xlnm.Print_Area" localSheetId="2">'P2'!$B$2:$P$14</definedName>
    <definedName name="_xlnm.Print_Area" localSheetId="3">'P3'!$B$2:$P$70</definedName>
    <definedName name="_xlnm.Print_Area" localSheetId="4">'P4'!$B$2:$P$72</definedName>
    <definedName name="_xlnm.Print_Area" localSheetId="5">'P5'!$B$1:$P$48</definedName>
    <definedName name="_xlnm.Print_Area" localSheetId="6">'P6'!$B$2:$P$74</definedName>
    <definedName name="_xlnm.Print_Area" localSheetId="7">'P7'!$B$2:$P$791</definedName>
    <definedName name="_xlnm.Print_Area" localSheetId="8">'P8'!$B$1:$P$77</definedName>
    <definedName name="_xlnm.Print_Area" localSheetId="0">Príjmy!$B$2:$H$322</definedName>
    <definedName name="_xlnm.Print_Area" localSheetId="13">Sumarizácia!$B$1:$J$47</definedName>
  </definedNames>
  <calcPr calcId="152511"/>
</workbook>
</file>

<file path=xl/calcChain.xml><?xml version="1.0" encoding="utf-8"?>
<calcChain xmlns="http://schemas.openxmlformats.org/spreadsheetml/2006/main">
  <c r="I146" i="7" l="1"/>
  <c r="I129" i="7"/>
  <c r="I260" i="7"/>
  <c r="I261" i="7"/>
  <c r="B302" i="7"/>
  <c r="B303" i="7" s="1"/>
  <c r="B304" i="7" s="1"/>
  <c r="B305" i="7" s="1"/>
  <c r="B306" i="7" s="1"/>
  <c r="B307" i="7" s="1"/>
  <c r="B308" i="7" s="1"/>
  <c r="B309" i="7" s="1"/>
  <c r="B310" i="7" s="1"/>
  <c r="B311" i="7" s="1"/>
  <c r="I300" i="7" l="1"/>
  <c r="I301" i="7"/>
  <c r="J307" i="7" l="1"/>
  <c r="J303" i="7"/>
  <c r="I36" i="21" l="1"/>
  <c r="Q363" i="27"/>
  <c r="P363" i="27"/>
  <c r="I261" i="27"/>
  <c r="Q265" i="27"/>
  <c r="P265" i="27"/>
  <c r="I255" i="27"/>
  <c r="I253" i="27" s="1"/>
  <c r="I664" i="27"/>
  <c r="I661" i="27" s="1"/>
  <c r="Q385" i="27"/>
  <c r="P385" i="27"/>
  <c r="Q339" i="27"/>
  <c r="P339" i="27"/>
  <c r="I329" i="27"/>
  <c r="Q330" i="27"/>
  <c r="P330" i="27"/>
  <c r="Q312" i="27"/>
  <c r="P312" i="27"/>
  <c r="I250" i="27" l="1"/>
  <c r="Q236" i="27"/>
  <c r="P236" i="27"/>
  <c r="I216" i="27"/>
  <c r="P217" i="27"/>
  <c r="Q217" i="27"/>
  <c r="P211" i="27"/>
  <c r="Q211" i="27"/>
  <c r="Q775" i="27"/>
  <c r="I766" i="27"/>
  <c r="I763" i="27" s="1"/>
  <c r="Q767" i="27"/>
  <c r="P767" i="27"/>
  <c r="P610" i="27"/>
  <c r="Q610" i="27"/>
  <c r="Q577" i="27"/>
  <c r="Q568" i="27"/>
  <c r="Q559" i="27"/>
  <c r="Q550" i="27"/>
  <c r="Q540" i="27" l="1"/>
  <c r="Q516" i="27"/>
  <c r="P516" i="27"/>
  <c r="P499" i="27"/>
  <c r="Q499" i="27"/>
  <c r="Q184" i="27"/>
  <c r="P184" i="27"/>
  <c r="Q125" i="27"/>
  <c r="I122" i="30" l="1"/>
  <c r="J144" i="30"/>
  <c r="J138" i="30"/>
  <c r="J135" i="30"/>
  <c r="J131" i="30"/>
  <c r="J129" i="30"/>
  <c r="J126" i="30"/>
  <c r="J123" i="30"/>
  <c r="J120" i="30"/>
  <c r="J119" i="30"/>
  <c r="J117" i="30"/>
  <c r="J103" i="30"/>
  <c r="J102" i="30"/>
  <c r="J100" i="30"/>
  <c r="J99" i="30"/>
  <c r="J91" i="30"/>
  <c r="J85" i="30"/>
  <c r="J84" i="30"/>
  <c r="J83" i="30"/>
  <c r="J82" i="30"/>
  <c r="J77" i="30"/>
  <c r="J74" i="30"/>
  <c r="J69" i="30"/>
  <c r="J68" i="30"/>
  <c r="J67" i="30"/>
  <c r="J66" i="30"/>
  <c r="J63" i="30"/>
  <c r="J58" i="30"/>
  <c r="J56" i="30"/>
  <c r="J55" i="30"/>
  <c r="J52" i="30"/>
  <c r="J51" i="30"/>
  <c r="J50" i="30"/>
  <c r="J49" i="30"/>
  <c r="J48" i="30"/>
  <c r="J47" i="30"/>
  <c r="J46" i="30"/>
  <c r="J45" i="30"/>
  <c r="J36" i="30"/>
  <c r="J32" i="30"/>
  <c r="J31" i="30"/>
  <c r="J30" i="30"/>
  <c r="J29" i="30"/>
  <c r="J28" i="30"/>
  <c r="J27" i="30"/>
  <c r="J26" i="30"/>
  <c r="J25" i="30"/>
  <c r="J24" i="30"/>
  <c r="J22" i="30"/>
  <c r="J21" i="30"/>
  <c r="J20" i="30"/>
  <c r="J18" i="30"/>
  <c r="J20" i="20"/>
  <c r="J18" i="20"/>
  <c r="K25" i="15"/>
  <c r="N54" i="34" l="1"/>
  <c r="N53" i="34"/>
  <c r="N50" i="34"/>
  <c r="N41" i="34"/>
  <c r="N38" i="34"/>
  <c r="J71" i="34"/>
  <c r="J67" i="34"/>
  <c r="J66" i="34"/>
  <c r="J63" i="34"/>
  <c r="J61" i="34"/>
  <c r="J60" i="34"/>
  <c r="J59" i="34"/>
  <c r="J58" i="34"/>
  <c r="J57" i="34"/>
  <c r="J56" i="34"/>
  <c r="J52" i="34"/>
  <c r="J49" i="34"/>
  <c r="J40" i="34"/>
  <c r="J37" i="34"/>
  <c r="J35" i="34"/>
  <c r="J25" i="34"/>
  <c r="J24" i="34"/>
  <c r="J21" i="34"/>
  <c r="J17" i="34"/>
  <c r="J16" i="34"/>
  <c r="J13" i="34"/>
  <c r="J11" i="34"/>
  <c r="J10" i="34"/>
  <c r="L43" i="15"/>
  <c r="L42" i="15"/>
  <c r="L41" i="15"/>
  <c r="L40" i="15"/>
  <c r="L39" i="15"/>
  <c r="L36" i="15"/>
  <c r="L35" i="15"/>
  <c r="L34" i="15"/>
  <c r="L33" i="15"/>
  <c r="L29" i="15"/>
  <c r="L28" i="15"/>
  <c r="H11" i="15"/>
  <c r="E11" i="15"/>
  <c r="N51" i="33"/>
  <c r="N50" i="33"/>
  <c r="J49" i="33"/>
  <c r="J47" i="33"/>
  <c r="J46" i="33"/>
  <c r="J45" i="33"/>
  <c r="J44" i="33"/>
  <c r="J43" i="33"/>
  <c r="J41" i="33"/>
  <c r="J39" i="33"/>
  <c r="J38" i="33"/>
  <c r="J34" i="33"/>
  <c r="J32" i="33"/>
  <c r="J31" i="33"/>
  <c r="J28" i="33"/>
  <c r="J20" i="33"/>
  <c r="J19" i="33"/>
  <c r="J18" i="33"/>
  <c r="J17" i="33"/>
  <c r="J16" i="33"/>
  <c r="J15" i="33"/>
  <c r="J14" i="33"/>
  <c r="J13" i="33"/>
  <c r="J12" i="33"/>
  <c r="J10" i="33"/>
  <c r="J8" i="33"/>
  <c r="P82" i="27"/>
  <c r="Q82" i="27"/>
  <c r="Q52" i="27"/>
  <c r="N249" i="27"/>
  <c r="N108" i="27"/>
  <c r="N97" i="27"/>
  <c r="N86" i="27"/>
  <c r="J791" i="27"/>
  <c r="J790" i="27"/>
  <c r="J786" i="27"/>
  <c r="J780" i="27"/>
  <c r="J772" i="27"/>
  <c r="J771" i="27"/>
  <c r="J770" i="27"/>
  <c r="J769" i="27"/>
  <c r="J768" i="27"/>
  <c r="J760" i="27"/>
  <c r="J759" i="27"/>
  <c r="J758" i="27"/>
  <c r="J757" i="27"/>
  <c r="J755" i="27"/>
  <c r="J751" i="27"/>
  <c r="J746" i="27"/>
  <c r="J708" i="27"/>
  <c r="J706" i="27"/>
  <c r="J699" i="27"/>
  <c r="J697" i="27"/>
  <c r="J670" i="27"/>
  <c r="J666" i="27"/>
  <c r="J665" i="27"/>
  <c r="J659" i="27"/>
  <c r="J656" i="27"/>
  <c r="J654" i="27"/>
  <c r="J648" i="27"/>
  <c r="J647" i="27"/>
  <c r="J645" i="27"/>
  <c r="J640" i="27"/>
  <c r="J639" i="27"/>
  <c r="J638" i="27"/>
  <c r="J637" i="27"/>
  <c r="J631" i="27"/>
  <c r="J627" i="27"/>
  <c r="J621" i="27"/>
  <c r="J609" i="27"/>
  <c r="J608" i="27"/>
  <c r="J607" i="27"/>
  <c r="J602" i="27"/>
  <c r="J601" i="27"/>
  <c r="J600" i="27"/>
  <c r="J599" i="27"/>
  <c r="J593" i="27"/>
  <c r="J592" i="27"/>
  <c r="J591" i="27"/>
  <c r="J585" i="27"/>
  <c r="J584" i="27"/>
  <c r="J576" i="27"/>
  <c r="J575" i="27"/>
  <c r="J567" i="27"/>
  <c r="J566" i="27"/>
  <c r="J557" i="27"/>
  <c r="J556" i="27"/>
  <c r="J548" i="27"/>
  <c r="J546" i="27"/>
  <c r="J538" i="27"/>
  <c r="J530" i="27"/>
  <c r="J529" i="27"/>
  <c r="J528" i="27"/>
  <c r="J523" i="27"/>
  <c r="J522" i="27"/>
  <c r="J515" i="27"/>
  <c r="J514" i="27"/>
  <c r="J513" i="27"/>
  <c r="J506" i="27"/>
  <c r="J498" i="27"/>
  <c r="J497" i="27"/>
  <c r="J496" i="27"/>
  <c r="J488" i="27"/>
  <c r="J487" i="27"/>
  <c r="J482" i="27"/>
  <c r="J480" i="27"/>
  <c r="J472" i="27"/>
  <c r="J468" i="27"/>
  <c r="J462" i="27"/>
  <c r="J461" i="27"/>
  <c r="J460" i="27"/>
  <c r="J459" i="27"/>
  <c r="J457" i="27"/>
  <c r="J450" i="27"/>
  <c r="J448" i="27"/>
  <c r="J442" i="27"/>
  <c r="J441" i="27"/>
  <c r="J440" i="27"/>
  <c r="J427" i="27"/>
  <c r="J417" i="27"/>
  <c r="J411" i="27"/>
  <c r="J410" i="27"/>
  <c r="J409" i="27"/>
  <c r="J396" i="27"/>
  <c r="J395" i="27"/>
  <c r="J394" i="27"/>
  <c r="J387" i="27"/>
  <c r="J373" i="27"/>
  <c r="J360" i="27"/>
  <c r="J350" i="27"/>
  <c r="J336" i="27"/>
  <c r="J323" i="27"/>
  <c r="J309" i="27"/>
  <c r="J286" i="27"/>
  <c r="J284" i="27"/>
  <c r="J281" i="27"/>
  <c r="J275" i="27"/>
  <c r="J260" i="27"/>
  <c r="J259" i="27"/>
  <c r="J233" i="27"/>
  <c r="J227" i="27"/>
  <c r="J208" i="27"/>
  <c r="J206" i="27"/>
  <c r="J204" i="27"/>
  <c r="J201" i="27"/>
  <c r="J195" i="27"/>
  <c r="J193" i="27"/>
  <c r="J192" i="27"/>
  <c r="J190" i="27"/>
  <c r="J183" i="27"/>
  <c r="J182" i="27"/>
  <c r="J181" i="27"/>
  <c r="J170" i="27"/>
  <c r="J169" i="27"/>
  <c r="J165" i="27"/>
  <c r="J163" i="27"/>
  <c r="J160" i="27"/>
  <c r="J155" i="27"/>
  <c r="J154" i="27"/>
  <c r="J153" i="27"/>
  <c r="J146" i="27"/>
  <c r="J143" i="27"/>
  <c r="J141" i="27"/>
  <c r="J136" i="27"/>
  <c r="J135" i="27"/>
  <c r="J127" i="27"/>
  <c r="J117" i="27"/>
  <c r="J116" i="27"/>
  <c r="J106" i="27"/>
  <c r="J105" i="27"/>
  <c r="J96" i="27"/>
  <c r="J95" i="27"/>
  <c r="J84" i="27"/>
  <c r="J82" i="27"/>
  <c r="J80" i="27"/>
  <c r="J75" i="27"/>
  <c r="J74" i="27"/>
  <c r="J72" i="27"/>
  <c r="J64" i="27"/>
  <c r="J62" i="27"/>
  <c r="J60" i="27"/>
  <c r="J55" i="27"/>
  <c r="J54" i="27"/>
  <c r="J50" i="27"/>
  <c r="J45" i="27"/>
  <c r="J44" i="27"/>
  <c r="J41" i="27"/>
  <c r="J36" i="27"/>
  <c r="J34" i="27"/>
  <c r="J32" i="27"/>
  <c r="J26" i="27"/>
  <c r="J22" i="27"/>
  <c r="J17" i="27"/>
  <c r="J13" i="27"/>
  <c r="R82" i="27" l="1"/>
  <c r="N77" i="31" l="1"/>
  <c r="N76" i="31"/>
  <c r="N58" i="31"/>
  <c r="N45" i="31"/>
  <c r="N30" i="31"/>
  <c r="J67" i="31"/>
  <c r="J68" i="31"/>
  <c r="J71" i="31"/>
  <c r="J73" i="31"/>
  <c r="J74" i="31"/>
  <c r="J57" i="31"/>
  <c r="J56" i="31"/>
  <c r="J53" i="31"/>
  <c r="J51" i="31"/>
  <c r="J50" i="31"/>
  <c r="J48" i="31"/>
  <c r="J43" i="31"/>
  <c r="J39" i="31"/>
  <c r="J34" i="31"/>
  <c r="J33" i="31"/>
  <c r="J27" i="31"/>
  <c r="J24" i="31"/>
  <c r="J22" i="31"/>
  <c r="J21" i="31"/>
  <c r="J18" i="31"/>
  <c r="J17" i="31"/>
  <c r="J16" i="31"/>
  <c r="J15" i="31"/>
  <c r="J14" i="31"/>
  <c r="J13" i="31"/>
  <c r="J12" i="31"/>
  <c r="J11" i="31"/>
  <c r="J10" i="31"/>
  <c r="J9" i="31"/>
  <c r="R74" i="26"/>
  <c r="R73" i="26"/>
  <c r="R72" i="26"/>
  <c r="R71" i="26"/>
  <c r="R70" i="26"/>
  <c r="R69" i="26"/>
  <c r="R68" i="26"/>
  <c r="R67" i="26"/>
  <c r="R66" i="26"/>
  <c r="R65" i="26"/>
  <c r="R64" i="26"/>
  <c r="R63" i="26"/>
  <c r="R62" i="26"/>
  <c r="R61" i="26"/>
  <c r="R60" i="26"/>
  <c r="R59" i="26"/>
  <c r="R58" i="26"/>
  <c r="R57" i="26"/>
  <c r="R56" i="26"/>
  <c r="R55" i="26"/>
  <c r="R54" i="26"/>
  <c r="R53" i="26"/>
  <c r="R52" i="26"/>
  <c r="R51" i="26"/>
  <c r="R50" i="26"/>
  <c r="R49" i="26"/>
  <c r="R48" i="26"/>
  <c r="R47" i="26"/>
  <c r="R45" i="26"/>
  <c r="R43" i="26"/>
  <c r="R42" i="26"/>
  <c r="R41" i="26"/>
  <c r="R40" i="26"/>
  <c r="R39" i="26"/>
  <c r="R38" i="26"/>
  <c r="R37" i="26"/>
  <c r="R36" i="26"/>
  <c r="R35" i="26"/>
  <c r="R34" i="26"/>
  <c r="R33" i="26"/>
  <c r="R32" i="26"/>
  <c r="R31" i="26"/>
  <c r="R30" i="26"/>
  <c r="R29" i="26"/>
  <c r="R28" i="26"/>
  <c r="R27" i="26"/>
  <c r="R26" i="26"/>
  <c r="R25" i="26"/>
  <c r="R23" i="26"/>
  <c r="R22" i="26"/>
  <c r="R21" i="26"/>
  <c r="R20" i="26"/>
  <c r="R19" i="26"/>
  <c r="R18" i="26"/>
  <c r="R17" i="26"/>
  <c r="R16" i="26"/>
  <c r="R15" i="26"/>
  <c r="R14" i="26"/>
  <c r="R13" i="26"/>
  <c r="R12" i="26"/>
  <c r="R11" i="26"/>
  <c r="R10" i="26"/>
  <c r="R9" i="26"/>
  <c r="R8" i="26"/>
  <c r="R7" i="26"/>
  <c r="R6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5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11" i="26"/>
  <c r="N6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6" i="26"/>
  <c r="T11" i="26"/>
  <c r="N34" i="25"/>
  <c r="N18" i="25"/>
  <c r="J48" i="25"/>
  <c r="J46" i="25"/>
  <c r="J45" i="25"/>
  <c r="J44" i="25"/>
  <c r="J43" i="25"/>
  <c r="J42" i="25"/>
  <c r="J40" i="25"/>
  <c r="J37" i="25"/>
  <c r="J30" i="25"/>
  <c r="J14" i="25"/>
  <c r="J13" i="25"/>
  <c r="J11" i="25"/>
  <c r="N71" i="24"/>
  <c r="N61" i="24"/>
  <c r="N57" i="24"/>
  <c r="N56" i="24"/>
  <c r="N50" i="24"/>
  <c r="J68" i="24"/>
  <c r="J67" i="24"/>
  <c r="J65" i="24"/>
  <c r="J64" i="24"/>
  <c r="J55" i="24"/>
  <c r="J54" i="24"/>
  <c r="J52" i="24"/>
  <c r="J49" i="24"/>
  <c r="J47" i="24"/>
  <c r="J45" i="24"/>
  <c r="J43" i="24"/>
  <c r="J42" i="24"/>
  <c r="J39" i="24"/>
  <c r="J38" i="24"/>
  <c r="J36" i="24"/>
  <c r="J35" i="24"/>
  <c r="J33" i="24"/>
  <c r="J32" i="24"/>
  <c r="J26" i="24"/>
  <c r="J25" i="24"/>
  <c r="J23" i="24"/>
  <c r="J22" i="24"/>
  <c r="J20" i="24"/>
  <c r="J18" i="24"/>
  <c r="J10" i="24"/>
  <c r="J9" i="24"/>
  <c r="J8" i="24"/>
  <c r="I53" i="24"/>
  <c r="J53" i="24" s="1"/>
  <c r="I53" i="23"/>
  <c r="N65" i="23" l="1"/>
  <c r="N31" i="23"/>
  <c r="N30" i="23"/>
  <c r="N17" i="23"/>
  <c r="J69" i="23"/>
  <c r="J68" i="23"/>
  <c r="J58" i="23"/>
  <c r="J57" i="23"/>
  <c r="J53" i="23"/>
  <c r="J50" i="23"/>
  <c r="J48" i="23"/>
  <c r="J47" i="23"/>
  <c r="J45" i="23"/>
  <c r="J43" i="23"/>
  <c r="J42" i="23"/>
  <c r="J41" i="23"/>
  <c r="J40" i="23"/>
  <c r="J39" i="23"/>
  <c r="J34" i="23"/>
  <c r="J27" i="23"/>
  <c r="J23" i="23"/>
  <c r="J19" i="23"/>
  <c r="J16" i="23"/>
  <c r="J15" i="23"/>
  <c r="J13" i="23"/>
  <c r="J9" i="23"/>
  <c r="J8" i="23"/>
  <c r="J15" i="22"/>
  <c r="J14" i="22"/>
  <c r="J13" i="22"/>
  <c r="J12" i="22"/>
  <c r="J11" i="22"/>
  <c r="J10" i="22"/>
  <c r="J9" i="22"/>
  <c r="J8" i="22"/>
  <c r="J7" i="22"/>
  <c r="J6" i="22"/>
  <c r="R70" i="21"/>
  <c r="R69" i="21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4" i="21"/>
  <c r="R33" i="21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N48" i="21"/>
  <c r="N47" i="21"/>
  <c r="N46" i="21"/>
  <c r="N34" i="21"/>
  <c r="N33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45" i="21"/>
  <c r="J44" i="21"/>
  <c r="J43" i="21"/>
  <c r="J42" i="21"/>
  <c r="J41" i="21"/>
  <c r="J40" i="21"/>
  <c r="J39" i="21"/>
  <c r="J38" i="21"/>
  <c r="J37" i="21"/>
  <c r="J36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I44" i="21"/>
  <c r="I43" i="21"/>
  <c r="I42" i="21"/>
  <c r="I38" i="21"/>
  <c r="I37" i="21"/>
  <c r="I29" i="21"/>
  <c r="I28" i="21"/>
  <c r="I27" i="21"/>
  <c r="I23" i="21"/>
  <c r="J284" i="7"/>
  <c r="J283" i="7"/>
  <c r="J281" i="7"/>
  <c r="J280" i="7"/>
  <c r="J278" i="7"/>
  <c r="J277" i="7"/>
  <c r="J275" i="7"/>
  <c r="J274" i="7"/>
  <c r="J272" i="7"/>
  <c r="J270" i="7"/>
  <c r="J256" i="7"/>
  <c r="J255" i="7"/>
  <c r="J254" i="7"/>
  <c r="J225" i="7"/>
  <c r="J221" i="7"/>
  <c r="J211" i="7"/>
  <c r="J210" i="7"/>
  <c r="J209" i="7"/>
  <c r="J208" i="7"/>
  <c r="J206" i="7"/>
  <c r="J191" i="7"/>
  <c r="J190" i="7"/>
  <c r="J189" i="7"/>
  <c r="J188" i="7"/>
  <c r="J187" i="7"/>
  <c r="J186" i="7"/>
  <c r="J185" i="7"/>
  <c r="J184" i="7"/>
  <c r="J178" i="7"/>
  <c r="J177" i="7"/>
  <c r="J176" i="7"/>
  <c r="J175" i="7"/>
  <c r="J174" i="7"/>
  <c r="J173" i="7"/>
  <c r="J171" i="7"/>
  <c r="J164" i="7"/>
  <c r="J162" i="7"/>
  <c r="J161" i="7"/>
  <c r="J160" i="7"/>
  <c r="I195" i="7"/>
  <c r="I219" i="7"/>
  <c r="J219" i="7" s="1"/>
  <c r="I212" i="7"/>
  <c r="J212" i="7" s="1"/>
  <c r="I183" i="7"/>
  <c r="I179" i="7" l="1"/>
  <c r="I194" i="7"/>
  <c r="I218" i="7"/>
  <c r="J149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7" i="7"/>
  <c r="J125" i="7"/>
  <c r="J123" i="7"/>
  <c r="J119" i="7"/>
  <c r="J117" i="7"/>
  <c r="J116" i="7"/>
  <c r="J115" i="7"/>
  <c r="J113" i="7"/>
  <c r="J111" i="7"/>
  <c r="J110" i="7"/>
  <c r="J106" i="7"/>
  <c r="J105" i="7"/>
  <c r="J104" i="7"/>
  <c r="J101" i="7"/>
  <c r="J100" i="7"/>
  <c r="J98" i="7"/>
  <c r="J97" i="7"/>
  <c r="J96" i="7"/>
  <c r="J93" i="7"/>
  <c r="J92" i="7"/>
  <c r="J91" i="7"/>
  <c r="J90" i="7"/>
  <c r="J88" i="7"/>
  <c r="J84" i="7"/>
  <c r="J83" i="7"/>
  <c r="J80" i="7"/>
  <c r="J77" i="7"/>
  <c r="J76" i="7"/>
  <c r="J74" i="7"/>
  <c r="J73" i="7"/>
  <c r="J48" i="7"/>
  <c r="J43" i="7"/>
  <c r="J40" i="7"/>
  <c r="J38" i="7"/>
  <c r="J30" i="7"/>
  <c r="J28" i="7"/>
  <c r="I49" i="7"/>
  <c r="J49" i="7" s="1"/>
  <c r="I45" i="7"/>
  <c r="J45" i="7" s="1"/>
  <c r="I41" i="7"/>
  <c r="J41" i="7" s="1"/>
  <c r="I32" i="7"/>
  <c r="J32" i="7" s="1"/>
  <c r="J22" i="7" l="1"/>
  <c r="J21" i="7"/>
  <c r="J20" i="7"/>
  <c r="J19" i="7"/>
  <c r="J16" i="7"/>
  <c r="J15" i="7"/>
  <c r="J14" i="7"/>
  <c r="Q9" i="30" l="1"/>
  <c r="Q10" i="30"/>
  <c r="Q12" i="30"/>
  <c r="Q13" i="30"/>
  <c r="Q14" i="30"/>
  <c r="Q15" i="30"/>
  <c r="Q16" i="30"/>
  <c r="Q18" i="30"/>
  <c r="Q20" i="30"/>
  <c r="Q21" i="30"/>
  <c r="Q22" i="30"/>
  <c r="Q24" i="30"/>
  <c r="Q25" i="30"/>
  <c r="Q26" i="30"/>
  <c r="Q27" i="30"/>
  <c r="Q28" i="30"/>
  <c r="Q29" i="30"/>
  <c r="Q30" i="30"/>
  <c r="Q31" i="30"/>
  <c r="Q32" i="30"/>
  <c r="Q35" i="30"/>
  <c r="Q36" i="30"/>
  <c r="Q38" i="30"/>
  <c r="Q39" i="30"/>
  <c r="Q40" i="30"/>
  <c r="Q41" i="30"/>
  <c r="Q45" i="30"/>
  <c r="Q46" i="30"/>
  <c r="Q47" i="30"/>
  <c r="Q48" i="30"/>
  <c r="Q49" i="30"/>
  <c r="Q50" i="30"/>
  <c r="Q51" i="30"/>
  <c r="Q52" i="30"/>
  <c r="Q54" i="30"/>
  <c r="Q55" i="30"/>
  <c r="Q56" i="30"/>
  <c r="Q58" i="30"/>
  <c r="Q59" i="30"/>
  <c r="Q60" i="30"/>
  <c r="Q63" i="30"/>
  <c r="Q64" i="30"/>
  <c r="Q66" i="30"/>
  <c r="Q67" i="30"/>
  <c r="Q68" i="30"/>
  <c r="Q69" i="30"/>
  <c r="Q70" i="30"/>
  <c r="Q71" i="30"/>
  <c r="Q72" i="30"/>
  <c r="Q74" i="30"/>
  <c r="Q77" i="30"/>
  <c r="Q78" i="30"/>
  <c r="Q79" i="30"/>
  <c r="Q80" i="30"/>
  <c r="Q82" i="30"/>
  <c r="Q83" i="30"/>
  <c r="Q84" i="30"/>
  <c r="Q85" i="30"/>
  <c r="Q88" i="30"/>
  <c r="Q89" i="30"/>
  <c r="Q91" i="30"/>
  <c r="Q92" i="30"/>
  <c r="Q93" i="30"/>
  <c r="Q94" i="30"/>
  <c r="Q95" i="30"/>
  <c r="Q96" i="30"/>
  <c r="Q97" i="30"/>
  <c r="Q99" i="30"/>
  <c r="Q100" i="30"/>
  <c r="Q102" i="30"/>
  <c r="Q103" i="30"/>
  <c r="Q107" i="30"/>
  <c r="Q108" i="30"/>
  <c r="Q110" i="30"/>
  <c r="Q111" i="30"/>
  <c r="Q112" i="30"/>
  <c r="Q113" i="30"/>
  <c r="Q114" i="30"/>
  <c r="Q117" i="30"/>
  <c r="Q119" i="30"/>
  <c r="Q120" i="30"/>
  <c r="Q121" i="30"/>
  <c r="Q122" i="30"/>
  <c r="Q123" i="30"/>
  <c r="Q126" i="30"/>
  <c r="Q127" i="30"/>
  <c r="Q129" i="30"/>
  <c r="Q130" i="30"/>
  <c r="Q131" i="30"/>
  <c r="Q132" i="30"/>
  <c r="Q135" i="30"/>
  <c r="Q136" i="30"/>
  <c r="Q138" i="30"/>
  <c r="Q139" i="30"/>
  <c r="Q140" i="30"/>
  <c r="Q141" i="30"/>
  <c r="Q142" i="30"/>
  <c r="Q143" i="30"/>
  <c r="Q144" i="30"/>
  <c r="M7" i="30"/>
  <c r="M6" i="30" s="1"/>
  <c r="H16" i="15" s="1"/>
  <c r="M86" i="30"/>
  <c r="I11" i="30"/>
  <c r="I17" i="30"/>
  <c r="I23" i="30"/>
  <c r="I37" i="30"/>
  <c r="I44" i="30"/>
  <c r="I65" i="30"/>
  <c r="I76" i="30"/>
  <c r="I90" i="30"/>
  <c r="I109" i="30"/>
  <c r="I116" i="30"/>
  <c r="I118" i="30"/>
  <c r="I128" i="30"/>
  <c r="I137" i="30"/>
  <c r="Q50" i="34"/>
  <c r="R50" i="34" s="1"/>
  <c r="Q10" i="34"/>
  <c r="Q11" i="34"/>
  <c r="Q13" i="34"/>
  <c r="Q14" i="34"/>
  <c r="Q15" i="34"/>
  <c r="Q16" i="34"/>
  <c r="Q17" i="34"/>
  <c r="Q18" i="34"/>
  <c r="Q19" i="34"/>
  <c r="Q21" i="34"/>
  <c r="Q23" i="34"/>
  <c r="Q24" i="34"/>
  <c r="Q25" i="34"/>
  <c r="Q26" i="34"/>
  <c r="Q27" i="34"/>
  <c r="Q29" i="34"/>
  <c r="Q30" i="34"/>
  <c r="Q32" i="34"/>
  <c r="Q33" i="34"/>
  <c r="Q34" i="34"/>
  <c r="Q35" i="34"/>
  <c r="Q36" i="34"/>
  <c r="Q37" i="34"/>
  <c r="Q38" i="34"/>
  <c r="Q40" i="34"/>
  <c r="Q41" i="34"/>
  <c r="Q45" i="34"/>
  <c r="Q46" i="34"/>
  <c r="Q47" i="34"/>
  <c r="Q48" i="34"/>
  <c r="Q49" i="34"/>
  <c r="Q52" i="34"/>
  <c r="Q53" i="34"/>
  <c r="Q54" i="34"/>
  <c r="Q56" i="34"/>
  <c r="Q57" i="34"/>
  <c r="Q58" i="34"/>
  <c r="Q59" i="34"/>
  <c r="Q60" i="34"/>
  <c r="Q61" i="34"/>
  <c r="Q63" i="34"/>
  <c r="Q66" i="34"/>
  <c r="Q67" i="34"/>
  <c r="Q69" i="34"/>
  <c r="Q70" i="34"/>
  <c r="Q71" i="34"/>
  <c r="Q74" i="34"/>
  <c r="Q75" i="34"/>
  <c r="Q77" i="34"/>
  <c r="Q78" i="34"/>
  <c r="Q79" i="34"/>
  <c r="Q80" i="34"/>
  <c r="Q81" i="34"/>
  <c r="Q82" i="34"/>
  <c r="Q83" i="34"/>
  <c r="M8" i="34"/>
  <c r="M51" i="34"/>
  <c r="M55" i="34"/>
  <c r="M72" i="34"/>
  <c r="I12" i="34"/>
  <c r="I22" i="34"/>
  <c r="I31" i="34"/>
  <c r="I51" i="34"/>
  <c r="I55" i="34"/>
  <c r="I62" i="34"/>
  <c r="Q116" i="30" l="1"/>
  <c r="Q65" i="30"/>
  <c r="Q17" i="30"/>
  <c r="I75" i="30"/>
  <c r="I134" i="30"/>
  <c r="Q109" i="30"/>
  <c r="I43" i="30"/>
  <c r="Q11" i="30"/>
  <c r="Q23" i="30"/>
  <c r="I125" i="30"/>
  <c r="Q90" i="30"/>
  <c r="Q37" i="30"/>
  <c r="Q118" i="30"/>
  <c r="Q137" i="30"/>
  <c r="Q134" i="30"/>
  <c r="Q125" i="30"/>
  <c r="Q31" i="34"/>
  <c r="I20" i="34"/>
  <c r="Q62" i="34"/>
  <c r="I9" i="34"/>
  <c r="Q12" i="34"/>
  <c r="Q55" i="34"/>
  <c r="Q128" i="30"/>
  <c r="Q76" i="30"/>
  <c r="Q22" i="34"/>
  <c r="Q44" i="30"/>
  <c r="I19" i="30"/>
  <c r="I62" i="30"/>
  <c r="I106" i="30"/>
  <c r="I8" i="30"/>
  <c r="I87" i="30"/>
  <c r="I34" i="30"/>
  <c r="Q51" i="34"/>
  <c r="I44" i="34"/>
  <c r="M43" i="34"/>
  <c r="I68" i="34"/>
  <c r="I76" i="34"/>
  <c r="I28" i="34"/>
  <c r="I9" i="33"/>
  <c r="M36" i="33"/>
  <c r="Q8" i="33"/>
  <c r="Q10" i="33"/>
  <c r="Q11" i="33"/>
  <c r="Q12" i="33"/>
  <c r="Q13" i="33"/>
  <c r="Q14" i="33"/>
  <c r="Q15" i="33"/>
  <c r="Q16" i="33"/>
  <c r="Q17" i="33"/>
  <c r="Q18" i="33"/>
  <c r="Q19" i="33"/>
  <c r="Q20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8" i="33"/>
  <c r="Q39" i="33"/>
  <c r="Q40" i="33"/>
  <c r="Q41" i="33"/>
  <c r="Q43" i="33"/>
  <c r="Q44" i="33"/>
  <c r="Q45" i="33"/>
  <c r="Q46" i="33"/>
  <c r="Q47" i="33"/>
  <c r="Q48" i="33"/>
  <c r="Q49" i="33"/>
  <c r="Q50" i="33"/>
  <c r="Q51" i="33"/>
  <c r="M7" i="33"/>
  <c r="I22" i="33"/>
  <c r="I37" i="33"/>
  <c r="Q19" i="30" l="1"/>
  <c r="Q43" i="30"/>
  <c r="I133" i="30"/>
  <c r="Q75" i="30"/>
  <c r="I124" i="30"/>
  <c r="Q9" i="33"/>
  <c r="I21" i="33"/>
  <c r="Q20" i="34"/>
  <c r="Q9" i="34"/>
  <c r="M7" i="34"/>
  <c r="Q21" i="33"/>
  <c r="I105" i="30"/>
  <c r="Q106" i="30"/>
  <c r="I61" i="30"/>
  <c r="Q62" i="30"/>
  <c r="I86" i="30"/>
  <c r="Q87" i="30"/>
  <c r="I33" i="30"/>
  <c r="Q34" i="30"/>
  <c r="I36" i="33"/>
  <c r="I8" i="34"/>
  <c r="Q28" i="34"/>
  <c r="I7" i="30"/>
  <c r="Q8" i="30"/>
  <c r="I73" i="34"/>
  <c r="Q76" i="34"/>
  <c r="I65" i="34"/>
  <c r="Q68" i="34"/>
  <c r="I43" i="34"/>
  <c r="Q44" i="34"/>
  <c r="Q37" i="33"/>
  <c r="M6" i="33"/>
  <c r="I7" i="33"/>
  <c r="Q22" i="33"/>
  <c r="M14" i="20"/>
  <c r="M19" i="20"/>
  <c r="I10" i="20"/>
  <c r="I14" i="20"/>
  <c r="I19" i="20"/>
  <c r="Q8" i="20"/>
  <c r="Q11" i="20"/>
  <c r="Q12" i="20"/>
  <c r="Q13" i="20"/>
  <c r="Q15" i="20"/>
  <c r="Q16" i="20"/>
  <c r="Q17" i="20"/>
  <c r="Q18" i="20"/>
  <c r="Q20" i="20"/>
  <c r="I8" i="31"/>
  <c r="M23" i="31"/>
  <c r="M31" i="31"/>
  <c r="M49" i="31"/>
  <c r="M65" i="31"/>
  <c r="I20" i="31"/>
  <c r="Q20" i="31" s="1"/>
  <c r="I23" i="31"/>
  <c r="Q28" i="31"/>
  <c r="I35" i="31"/>
  <c r="Q40" i="31"/>
  <c r="I52" i="31"/>
  <c r="Q55" i="31"/>
  <c r="Q72" i="31"/>
  <c r="Q6" i="31"/>
  <c r="Q9" i="31"/>
  <c r="Q10" i="31"/>
  <c r="Q11" i="31"/>
  <c r="Q12" i="31"/>
  <c r="Q13" i="31"/>
  <c r="Q14" i="31"/>
  <c r="Q15" i="31"/>
  <c r="Q16" i="31"/>
  <c r="Q17" i="31"/>
  <c r="Q18" i="31"/>
  <c r="Q21" i="31"/>
  <c r="Q22" i="31"/>
  <c r="Q24" i="31"/>
  <c r="Q25" i="31"/>
  <c r="Q26" i="31"/>
  <c r="Q27" i="31"/>
  <c r="Q29" i="31"/>
  <c r="Q30" i="31"/>
  <c r="Q33" i="31"/>
  <c r="Q34" i="31"/>
  <c r="Q36" i="31"/>
  <c r="Q37" i="31"/>
  <c r="Q38" i="31"/>
  <c r="Q39" i="31"/>
  <c r="Q41" i="31"/>
  <c r="Q43" i="31"/>
  <c r="Q45" i="31"/>
  <c r="Q48" i="31"/>
  <c r="Q50" i="31"/>
  <c r="Q51" i="31"/>
  <c r="Q53" i="31"/>
  <c r="Q54" i="31"/>
  <c r="Q56" i="31"/>
  <c r="Q57" i="31"/>
  <c r="Q58" i="31"/>
  <c r="Q60" i="31"/>
  <c r="Q61" i="31"/>
  <c r="Q63" i="31"/>
  <c r="Q67" i="31"/>
  <c r="Q68" i="31"/>
  <c r="Q70" i="31"/>
  <c r="Q71" i="31"/>
  <c r="Q73" i="31"/>
  <c r="Q74" i="31"/>
  <c r="Q76" i="31"/>
  <c r="Q77" i="31"/>
  <c r="Q14" i="20" l="1"/>
  <c r="Q7" i="30"/>
  <c r="Q33" i="30"/>
  <c r="I42" i="30"/>
  <c r="Q124" i="30"/>
  <c r="Q86" i="30"/>
  <c r="Q105" i="30"/>
  <c r="Q133" i="30"/>
  <c r="Q7" i="33"/>
  <c r="H14" i="15"/>
  <c r="Q36" i="33"/>
  <c r="I7" i="31"/>
  <c r="Q61" i="30"/>
  <c r="Q43" i="34"/>
  <c r="Q73" i="34"/>
  <c r="H15" i="15"/>
  <c r="Q65" i="34"/>
  <c r="Q8" i="34"/>
  <c r="I64" i="34"/>
  <c r="M47" i="31"/>
  <c r="I49" i="31"/>
  <c r="Q8" i="31"/>
  <c r="I6" i="30"/>
  <c r="I72" i="34"/>
  <c r="I6" i="33"/>
  <c r="Q19" i="20"/>
  <c r="M9" i="20"/>
  <c r="M7" i="20" s="1"/>
  <c r="H17" i="15" s="1"/>
  <c r="I9" i="20"/>
  <c r="Q10" i="20"/>
  <c r="Q52" i="31"/>
  <c r="I47" i="31"/>
  <c r="I32" i="31"/>
  <c r="Q35" i="31"/>
  <c r="Q23" i="31"/>
  <c r="I69" i="31"/>
  <c r="I787" i="27"/>
  <c r="M262" i="27"/>
  <c r="M27" i="27"/>
  <c r="Q42" i="30" l="1"/>
  <c r="Q6" i="33"/>
  <c r="E14" i="15"/>
  <c r="Q7" i="31"/>
  <c r="Q6" i="30"/>
  <c r="E16" i="15"/>
  <c r="Q72" i="34"/>
  <c r="Q64" i="34"/>
  <c r="M19" i="31"/>
  <c r="Q49" i="31"/>
  <c r="Q47" i="31"/>
  <c r="I7" i="34"/>
  <c r="I7" i="20"/>
  <c r="Q9" i="20"/>
  <c r="I66" i="31"/>
  <c r="Q69" i="31"/>
  <c r="Q32" i="31"/>
  <c r="I31" i="31"/>
  <c r="M18" i="27"/>
  <c r="M56" i="27"/>
  <c r="M76" i="27"/>
  <c r="M88" i="27"/>
  <c r="M98" i="27"/>
  <c r="M109" i="27"/>
  <c r="M238" i="27"/>
  <c r="M250" i="27"/>
  <c r="M300" i="27"/>
  <c r="M492" i="27"/>
  <c r="M501" i="27"/>
  <c r="M524" i="27"/>
  <c r="M533" i="27"/>
  <c r="M542" i="27"/>
  <c r="M552" i="27"/>
  <c r="M561" i="27"/>
  <c r="M570" i="27"/>
  <c r="M579" i="27"/>
  <c r="M587" i="27"/>
  <c r="Q611" i="27"/>
  <c r="M649" i="27"/>
  <c r="M710" i="27"/>
  <c r="M718" i="27"/>
  <c r="M729" i="27"/>
  <c r="M749" i="27"/>
  <c r="Q24" i="27"/>
  <c r="Q30" i="27"/>
  <c r="I31" i="27"/>
  <c r="Q48" i="27"/>
  <c r="Q63" i="27"/>
  <c r="I69" i="27"/>
  <c r="Q90" i="27"/>
  <c r="I101" i="27"/>
  <c r="Q124" i="27"/>
  <c r="Q144" i="27"/>
  <c r="Q149" i="27"/>
  <c r="I150" i="27"/>
  <c r="I178" i="27"/>
  <c r="I189" i="27"/>
  <c r="Q205" i="27"/>
  <c r="Q209" i="27"/>
  <c r="Q219" i="27"/>
  <c r="Q221" i="27"/>
  <c r="Q225" i="27"/>
  <c r="Q243" i="27"/>
  <c r="Q245" i="27"/>
  <c r="Q247" i="27"/>
  <c r="Q252" i="27"/>
  <c r="I270" i="27"/>
  <c r="Q279" i="27"/>
  <c r="Q282" i="27"/>
  <c r="Q288" i="27"/>
  <c r="Q294" i="27"/>
  <c r="Q295" i="27"/>
  <c r="Q298" i="27"/>
  <c r="Q299" i="27"/>
  <c r="Q304" i="27"/>
  <c r="Q305" i="27"/>
  <c r="Q310" i="27"/>
  <c r="Q331" i="27"/>
  <c r="Q333" i="27"/>
  <c r="Q334" i="27"/>
  <c r="Q335" i="27"/>
  <c r="Q343" i="27"/>
  <c r="Q345" i="27"/>
  <c r="Q348" i="27"/>
  <c r="Q349" i="27"/>
  <c r="Q356" i="27"/>
  <c r="Q357" i="27"/>
  <c r="Q359" i="27"/>
  <c r="Q361" i="27"/>
  <c r="Q369" i="27"/>
  <c r="Q374" i="27"/>
  <c r="Q376" i="27"/>
  <c r="Q380" i="27"/>
  <c r="Q381" i="27"/>
  <c r="Q383" i="27"/>
  <c r="Q391" i="27"/>
  <c r="Q392" i="27"/>
  <c r="I393" i="27"/>
  <c r="Q399" i="27"/>
  <c r="Q401" i="27"/>
  <c r="Q402" i="27"/>
  <c r="Q403" i="27"/>
  <c r="Q404" i="27"/>
  <c r="Q406" i="27"/>
  <c r="I408" i="27"/>
  <c r="Q414" i="27"/>
  <c r="Q420" i="27"/>
  <c r="Q423" i="27"/>
  <c r="Q425" i="27"/>
  <c r="Q426" i="27"/>
  <c r="Q430" i="27"/>
  <c r="Q431" i="27"/>
  <c r="Q435" i="27"/>
  <c r="Q437" i="27"/>
  <c r="Q438" i="27"/>
  <c r="I439" i="27"/>
  <c r="I436" i="27" s="1"/>
  <c r="Q444" i="27"/>
  <c r="Q449" i="27"/>
  <c r="Q452" i="27"/>
  <c r="Q453" i="27"/>
  <c r="Q456" i="27"/>
  <c r="Q465" i="27"/>
  <c r="Q469" i="27"/>
  <c r="Q470" i="27"/>
  <c r="Q474" i="27"/>
  <c r="Q481" i="27"/>
  <c r="Q483" i="27"/>
  <c r="Q493" i="27"/>
  <c r="I495" i="27"/>
  <c r="I492" i="27" s="1"/>
  <c r="Q503" i="27"/>
  <c r="Q507" i="27"/>
  <c r="Q511" i="27"/>
  <c r="I512" i="27"/>
  <c r="I509" i="27" s="1"/>
  <c r="I520" i="27"/>
  <c r="Q526" i="27"/>
  <c r="I527" i="27"/>
  <c r="Q535" i="27"/>
  <c r="Q537" i="27"/>
  <c r="I536" i="27"/>
  <c r="I533" i="27" s="1"/>
  <c r="Q544" i="27"/>
  <c r="Q549" i="27"/>
  <c r="Q553" i="27"/>
  <c r="Q554" i="27"/>
  <c r="I555" i="27"/>
  <c r="I552" i="27" s="1"/>
  <c r="Q562" i="27"/>
  <c r="I564" i="27"/>
  <c r="I561" i="27" s="1"/>
  <c r="Q571" i="27"/>
  <c r="Q572" i="27"/>
  <c r="I573" i="27"/>
  <c r="I570" i="27" s="1"/>
  <c r="Q580" i="27"/>
  <c r="I582" i="27"/>
  <c r="Q588" i="27"/>
  <c r="Q589" i="27"/>
  <c r="I590" i="27"/>
  <c r="Q596" i="27"/>
  <c r="Q597" i="27"/>
  <c r="I598" i="27"/>
  <c r="Q605" i="27"/>
  <c r="I606" i="27"/>
  <c r="I603" i="27" s="1"/>
  <c r="Q615" i="27"/>
  <c r="Q618" i="27"/>
  <c r="Q619" i="27"/>
  <c r="Q620" i="27"/>
  <c r="Q622" i="27"/>
  <c r="Q624" i="27"/>
  <c r="Q625" i="27"/>
  <c r="Q628" i="27"/>
  <c r="Q629" i="27"/>
  <c r="Q630" i="27"/>
  <c r="Q634" i="27"/>
  <c r="Q635" i="27"/>
  <c r="I636" i="27"/>
  <c r="Q642" i="27"/>
  <c r="Q643" i="27"/>
  <c r="I644" i="27"/>
  <c r="Q652" i="27"/>
  <c r="Q655" i="27"/>
  <c r="Q662" i="27"/>
  <c r="Q663" i="27"/>
  <c r="Q667" i="27"/>
  <c r="Q669" i="27"/>
  <c r="Q673" i="27"/>
  <c r="Q674" i="27"/>
  <c r="Q677" i="27"/>
  <c r="Q678" i="27"/>
  <c r="Q679" i="27"/>
  <c r="Q680" i="27"/>
  <c r="Q682" i="27"/>
  <c r="Q683" i="27"/>
  <c r="Q685" i="27"/>
  <c r="Q686" i="27"/>
  <c r="Q687" i="27"/>
  <c r="Q688" i="27"/>
  <c r="Q689" i="27"/>
  <c r="Q693" i="27"/>
  <c r="Q695" i="27"/>
  <c r="Q696" i="27"/>
  <c r="Q698" i="27"/>
  <c r="Q701" i="27"/>
  <c r="Q702" i="27"/>
  <c r="Q704" i="27"/>
  <c r="Q705" i="27"/>
  <c r="Q707" i="27"/>
  <c r="Q711" i="27"/>
  <c r="Q712" i="27"/>
  <c r="Q714" i="27"/>
  <c r="Q715" i="27"/>
  <c r="Q716" i="27"/>
  <c r="Q719" i="27"/>
  <c r="Q720" i="27"/>
  <c r="Q722" i="27"/>
  <c r="Q724" i="27"/>
  <c r="Q725" i="27"/>
  <c r="Q726" i="27"/>
  <c r="Q730" i="27"/>
  <c r="Q731" i="27"/>
  <c r="Q733" i="27"/>
  <c r="Q734" i="27"/>
  <c r="Q735" i="27"/>
  <c r="Q736" i="27"/>
  <c r="Q737" i="27"/>
  <c r="Q740" i="27"/>
  <c r="Q741" i="27"/>
  <c r="Q743" i="27"/>
  <c r="Q744" i="27"/>
  <c r="Q745" i="27"/>
  <c r="Q747" i="27"/>
  <c r="I750" i="27"/>
  <c r="I754" i="27"/>
  <c r="Q764" i="27"/>
  <c r="Q765" i="27"/>
  <c r="Q774" i="27"/>
  <c r="Q777" i="27"/>
  <c r="Q778" i="27"/>
  <c r="Q779" i="27"/>
  <c r="Q782" i="27"/>
  <c r="Q783" i="27"/>
  <c r="Q785" i="27"/>
  <c r="Q787" i="27"/>
  <c r="Q788" i="27"/>
  <c r="Q789" i="27"/>
  <c r="Q10" i="27"/>
  <c r="Q11" i="27"/>
  <c r="Q13" i="27"/>
  <c r="Q14" i="27"/>
  <c r="Q15" i="27"/>
  <c r="Q16" i="27"/>
  <c r="Q17" i="27"/>
  <c r="Q19" i="27"/>
  <c r="Q20" i="27"/>
  <c r="Q22" i="27"/>
  <c r="Q23" i="27"/>
  <c r="Q25" i="27"/>
  <c r="Q26" i="27"/>
  <c r="Q27" i="27"/>
  <c r="Q29" i="27"/>
  <c r="Q32" i="27"/>
  <c r="Q33" i="27"/>
  <c r="Q34" i="27"/>
  <c r="Q35" i="27"/>
  <c r="Q36" i="27"/>
  <c r="Q38" i="27"/>
  <c r="Q39" i="27"/>
  <c r="Q41" i="27"/>
  <c r="Q43" i="27"/>
  <c r="Q44" i="27"/>
  <c r="Q45" i="27"/>
  <c r="Q47" i="27"/>
  <c r="Q50" i="27"/>
  <c r="Q51" i="27"/>
  <c r="Q53" i="27"/>
  <c r="Q54" i="27"/>
  <c r="Q55" i="27"/>
  <c r="Q58" i="27"/>
  <c r="Q60" i="27"/>
  <c r="Q61" i="27"/>
  <c r="Q62" i="27"/>
  <c r="Q64" i="27"/>
  <c r="Q65" i="27"/>
  <c r="Q67" i="27"/>
  <c r="Q68" i="27"/>
  <c r="Q70" i="27"/>
  <c r="Q71" i="27"/>
  <c r="Q72" i="27"/>
  <c r="Q73" i="27"/>
  <c r="Q74" i="27"/>
  <c r="Q75" i="27"/>
  <c r="Q77" i="27"/>
  <c r="Q78" i="27"/>
  <c r="Q80" i="27"/>
  <c r="Q83" i="27"/>
  <c r="Q84" i="27"/>
  <c r="Q85" i="27"/>
  <c r="Q86" i="27"/>
  <c r="Q87" i="27"/>
  <c r="Q89" i="27"/>
  <c r="Q92" i="27"/>
  <c r="Q93" i="27"/>
  <c r="Q94" i="27"/>
  <c r="Q95" i="27"/>
  <c r="Q96" i="27"/>
  <c r="Q97" i="27"/>
  <c r="Q99" i="27"/>
  <c r="Q100" i="27"/>
  <c r="Q102" i="27"/>
  <c r="Q103" i="27"/>
  <c r="Q104" i="27"/>
  <c r="Q105" i="27"/>
  <c r="Q106" i="27"/>
  <c r="Q107" i="27"/>
  <c r="Q108" i="27"/>
  <c r="Q110" i="27"/>
  <c r="Q111" i="27"/>
  <c r="Q113" i="27"/>
  <c r="Q114" i="27"/>
  <c r="Q115" i="27"/>
  <c r="Q116" i="27"/>
  <c r="Q117" i="27"/>
  <c r="Q118" i="27"/>
  <c r="Q121" i="27"/>
  <c r="Q123" i="27"/>
  <c r="Q126" i="27"/>
  <c r="Q127" i="27"/>
  <c r="Q129" i="27"/>
  <c r="Q130" i="27"/>
  <c r="Q132" i="27"/>
  <c r="Q133" i="27"/>
  <c r="Q134" i="27"/>
  <c r="Q135" i="27"/>
  <c r="Q136" i="27"/>
  <c r="Q139" i="27"/>
  <c r="Q141" i="27"/>
  <c r="Q142" i="27"/>
  <c r="Q143" i="27"/>
  <c r="Q145" i="27"/>
  <c r="Q146" i="27"/>
  <c r="Q148" i="27"/>
  <c r="Q151" i="27"/>
  <c r="Q152" i="27"/>
  <c r="Q153" i="27"/>
  <c r="Q154" i="27"/>
  <c r="Q155" i="27"/>
  <c r="Q157" i="27"/>
  <c r="Q158" i="27"/>
  <c r="Q160" i="27"/>
  <c r="Q162" i="27"/>
  <c r="Q163" i="27"/>
  <c r="Q164" i="27"/>
  <c r="Q165" i="27"/>
  <c r="Q167" i="27"/>
  <c r="Q169" i="27"/>
  <c r="Q170" i="27"/>
  <c r="Q171" i="27"/>
  <c r="Q176" i="27"/>
  <c r="Q177" i="27"/>
  <c r="Q179" i="27"/>
  <c r="Q180" i="27"/>
  <c r="Q181" i="27"/>
  <c r="Q182" i="27"/>
  <c r="Q183" i="27"/>
  <c r="Q187" i="27"/>
  <c r="Q188" i="27"/>
  <c r="Q190" i="27"/>
  <c r="Q191" i="27"/>
  <c r="Q192" i="27"/>
  <c r="Q193" i="27"/>
  <c r="Q194" i="27"/>
  <c r="Q195" i="27"/>
  <c r="Q196" i="27"/>
  <c r="Q198" i="27"/>
  <c r="Q199" i="27"/>
  <c r="Q201" i="27"/>
  <c r="Q202" i="27"/>
  <c r="Q203" i="27"/>
  <c r="Q204" i="27"/>
  <c r="Q206" i="27"/>
  <c r="Q207" i="27"/>
  <c r="Q208" i="27"/>
  <c r="Q214" i="27"/>
  <c r="Q215" i="27"/>
  <c r="Q218" i="27"/>
  <c r="Q220" i="27"/>
  <c r="Q222" i="27"/>
  <c r="Q224" i="27"/>
  <c r="Q227" i="27"/>
  <c r="Q228" i="27"/>
  <c r="Q229" i="27"/>
  <c r="Q230" i="27"/>
  <c r="Q231" i="27"/>
  <c r="Q232" i="27"/>
  <c r="Q233" i="27"/>
  <c r="Q234" i="27"/>
  <c r="Q240" i="27"/>
  <c r="Q242" i="27"/>
  <c r="Q244" i="27"/>
  <c r="Q246" i="27"/>
  <c r="Q248" i="27"/>
  <c r="Q249" i="27"/>
  <c r="Q251" i="27"/>
  <c r="Q254" i="27"/>
  <c r="Q255" i="27"/>
  <c r="Q256" i="27"/>
  <c r="Q257" i="27"/>
  <c r="Q258" i="27"/>
  <c r="Q259" i="27"/>
  <c r="Q260" i="27"/>
  <c r="Q261" i="27"/>
  <c r="Q262" i="27"/>
  <c r="Q263" i="27"/>
  <c r="Q268" i="27"/>
  <c r="Q269" i="27"/>
  <c r="Q271" i="27"/>
  <c r="Q272" i="27"/>
  <c r="Q273" i="27"/>
  <c r="Q274" i="27"/>
  <c r="Q275" i="27"/>
  <c r="Q276" i="27"/>
  <c r="Q278" i="27"/>
  <c r="Q281" i="27"/>
  <c r="Q283" i="27"/>
  <c r="Q284" i="27"/>
  <c r="Q285" i="27"/>
  <c r="Q286" i="27"/>
  <c r="Q287" i="27"/>
  <c r="Q291" i="27"/>
  <c r="Q292" i="27"/>
  <c r="Q296" i="27"/>
  <c r="Q297" i="27"/>
  <c r="Q301" i="27"/>
  <c r="Q302" i="27"/>
  <c r="Q306" i="27"/>
  <c r="Q307" i="27"/>
  <c r="Q308" i="27"/>
  <c r="Q309" i="27"/>
  <c r="Q314" i="27"/>
  <c r="Q317" i="27"/>
  <c r="Q318" i="27"/>
  <c r="Q321" i="27"/>
  <c r="Q322" i="27"/>
  <c r="Q323" i="27"/>
  <c r="Q324" i="27"/>
  <c r="Q325" i="27"/>
  <c r="Q328" i="27"/>
  <c r="Q332" i="27"/>
  <c r="Q336" i="27"/>
  <c r="Q337" i="27"/>
  <c r="Q342" i="27"/>
  <c r="Q346" i="27"/>
  <c r="Q347" i="27"/>
  <c r="Q350" i="27"/>
  <c r="Q352" i="27"/>
  <c r="Q353" i="27"/>
  <c r="Q358" i="27"/>
  <c r="Q360" i="27"/>
  <c r="Q366" i="27"/>
  <c r="Q367" i="27"/>
  <c r="Q371" i="27"/>
  <c r="Q372" i="27"/>
  <c r="Q373" i="27"/>
  <c r="Q377" i="27"/>
  <c r="Q382" i="27"/>
  <c r="Q387" i="27"/>
  <c r="Q394" i="27"/>
  <c r="Q395" i="27"/>
  <c r="Q396" i="27"/>
  <c r="Q407" i="27"/>
  <c r="Q409" i="27"/>
  <c r="Q410" i="27"/>
  <c r="Q411" i="27"/>
  <c r="Q412" i="27"/>
  <c r="Q415" i="27"/>
  <c r="Q417" i="27"/>
  <c r="Q419" i="27"/>
  <c r="Q422" i="27"/>
  <c r="Q427" i="27"/>
  <c r="Q428" i="27"/>
  <c r="Q434" i="27"/>
  <c r="Q440" i="27"/>
  <c r="Q441" i="27"/>
  <c r="Q442" i="27"/>
  <c r="Q445" i="27"/>
  <c r="Q448" i="27"/>
  <c r="Q450" i="27"/>
  <c r="Q455" i="27"/>
  <c r="Q457" i="27"/>
  <c r="Q459" i="27"/>
  <c r="Q460" i="27"/>
  <c r="Q461" i="27"/>
  <c r="Q462" i="27"/>
  <c r="Q466" i="27"/>
  <c r="Q468" i="27"/>
  <c r="Q471" i="27"/>
  <c r="Q472" i="27"/>
  <c r="Q473" i="27"/>
  <c r="Q476" i="27"/>
  <c r="Q477" i="27"/>
  <c r="Q479" i="27"/>
  <c r="Q480" i="27"/>
  <c r="Q482" i="27"/>
  <c r="Q484" i="27"/>
  <c r="Q485" i="27"/>
  <c r="Q487" i="27"/>
  <c r="Q488" i="27"/>
  <c r="Q494" i="27"/>
  <c r="Q496" i="27"/>
  <c r="Q497" i="27"/>
  <c r="Q498" i="27"/>
  <c r="Q502" i="27"/>
  <c r="Q505" i="27"/>
  <c r="Q506" i="27"/>
  <c r="Q510" i="27"/>
  <c r="Q513" i="27"/>
  <c r="Q514" i="27"/>
  <c r="Q515" i="27"/>
  <c r="Q519" i="27"/>
  <c r="Q522" i="27"/>
  <c r="Q523" i="27"/>
  <c r="Q525" i="27"/>
  <c r="Q528" i="27"/>
  <c r="Q529" i="27"/>
  <c r="Q530" i="27"/>
  <c r="Q534" i="27"/>
  <c r="Q538" i="27"/>
  <c r="Q541" i="27"/>
  <c r="Q546" i="27"/>
  <c r="Q547" i="27"/>
  <c r="Q548" i="27"/>
  <c r="Q551" i="27"/>
  <c r="Q556" i="27"/>
  <c r="Q557" i="27"/>
  <c r="Q558" i="27"/>
  <c r="Q563" i="27"/>
  <c r="Q566" i="27"/>
  <c r="Q567" i="27"/>
  <c r="Q569" i="27"/>
  <c r="Q574" i="27"/>
  <c r="Q575" i="27"/>
  <c r="Q576" i="27"/>
  <c r="Q578" i="27"/>
  <c r="Q581" i="27"/>
  <c r="Q584" i="27"/>
  <c r="Q585" i="27"/>
  <c r="Q586" i="27"/>
  <c r="Q591" i="27"/>
  <c r="Q592" i="27"/>
  <c r="Q593" i="27"/>
  <c r="Q599" i="27"/>
  <c r="Q600" i="27"/>
  <c r="Q601" i="27"/>
  <c r="Q602" i="27"/>
  <c r="Q604" i="27"/>
  <c r="Q607" i="27"/>
  <c r="Q608" i="27"/>
  <c r="Q609" i="27"/>
  <c r="Q616" i="27"/>
  <c r="Q621" i="27"/>
  <c r="Q627" i="27"/>
  <c r="Q631" i="27"/>
  <c r="Q637" i="27"/>
  <c r="Q638" i="27"/>
  <c r="Q639" i="27"/>
  <c r="Q640" i="27"/>
  <c r="Q645" i="27"/>
  <c r="Q647" i="27"/>
  <c r="Q648" i="27"/>
  <c r="Q651" i="27"/>
  <c r="Q654" i="27"/>
  <c r="Q656" i="27"/>
  <c r="Q658" i="27"/>
  <c r="Q659" i="27"/>
  <c r="Q665" i="27"/>
  <c r="Q666" i="27"/>
  <c r="Q668" i="27"/>
  <c r="Q670" i="27"/>
  <c r="Q697" i="27"/>
  <c r="Q699" i="27"/>
  <c r="Q706" i="27"/>
  <c r="Q708" i="27"/>
  <c r="Q723" i="27"/>
  <c r="Q746" i="27"/>
  <c r="Q751" i="27"/>
  <c r="Q755" i="27"/>
  <c r="Q757" i="27"/>
  <c r="Q758" i="27"/>
  <c r="Q759" i="27"/>
  <c r="Q760" i="27"/>
  <c r="Q768" i="27"/>
  <c r="Q769" i="27"/>
  <c r="Q770" i="27"/>
  <c r="Q771" i="27"/>
  <c r="Q772" i="27"/>
  <c r="Q780" i="27"/>
  <c r="Q786" i="27"/>
  <c r="Q790" i="27"/>
  <c r="Q791" i="27"/>
  <c r="Q7" i="20" l="1"/>
  <c r="E17" i="15"/>
  <c r="I174" i="27"/>
  <c r="I175" i="27"/>
  <c r="Q7" i="34"/>
  <c r="E15" i="15"/>
  <c r="Q590" i="27"/>
  <c r="Q520" i="27"/>
  <c r="Q270" i="27"/>
  <c r="I147" i="27"/>
  <c r="Q101" i="27"/>
  <c r="M748" i="27"/>
  <c r="M289" i="27"/>
  <c r="Q766" i="27"/>
  <c r="I749" i="27"/>
  <c r="Q598" i="27"/>
  <c r="Q573" i="27"/>
  <c r="Q512" i="27"/>
  <c r="Q495" i="27"/>
  <c r="Q393" i="27"/>
  <c r="Q31" i="27"/>
  <c r="M728" i="27"/>
  <c r="Q636" i="27"/>
  <c r="Q555" i="27"/>
  <c r="Q527" i="27"/>
  <c r="Q408" i="27"/>
  <c r="Q189" i="27"/>
  <c r="Q69" i="27"/>
  <c r="I753" i="27"/>
  <c r="Q564" i="27"/>
  <c r="Q644" i="27"/>
  <c r="Q606" i="27"/>
  <c r="Q582" i="27"/>
  <c r="Q536" i="27"/>
  <c r="Q439" i="27"/>
  <c r="Q178" i="27"/>
  <c r="M5" i="31"/>
  <c r="Q31" i="31"/>
  <c r="I19" i="31"/>
  <c r="Q66" i="31"/>
  <c r="I65" i="31"/>
  <c r="I641" i="27"/>
  <c r="Q641" i="27" s="1"/>
  <c r="I633" i="27"/>
  <c r="Q646" i="27"/>
  <c r="Q660" i="27"/>
  <c r="Q150" i="27"/>
  <c r="Q749" i="27"/>
  <c r="Q752" i="27"/>
  <c r="I524" i="27"/>
  <c r="Q500" i="27"/>
  <c r="Q727" i="27"/>
  <c r="Q594" i="27"/>
  <c r="M709" i="27"/>
  <c r="M612" i="27" s="1"/>
  <c r="Q750" i="27"/>
  <c r="M603" i="27"/>
  <c r="Q539" i="27"/>
  <c r="I732" i="27"/>
  <c r="I653" i="27"/>
  <c r="Q738" i="27"/>
  <c r="I748" i="27"/>
  <c r="I368" i="27"/>
  <c r="I319" i="27"/>
  <c r="Q532" i="27"/>
  <c r="Q320" i="27"/>
  <c r="I617" i="27"/>
  <c r="I303" i="27"/>
  <c r="Q717" i="27"/>
  <c r="Q657" i="27"/>
  <c r="Q531" i="27"/>
  <c r="Q521" i="27"/>
  <c r="Q508" i="27"/>
  <c r="Q370" i="27"/>
  <c r="I454" i="27"/>
  <c r="I451" i="27" s="1"/>
  <c r="Q451" i="27" s="1"/>
  <c r="Q754" i="27"/>
  <c r="Q565" i="27"/>
  <c r="Q560" i="27"/>
  <c r="I684" i="27"/>
  <c r="I675" i="27"/>
  <c r="I626" i="27"/>
  <c r="I424" i="27"/>
  <c r="I344" i="27"/>
  <c r="M237" i="27"/>
  <c r="M8" i="27"/>
  <c r="I776" i="27"/>
  <c r="I416" i="27"/>
  <c r="Q418" i="27"/>
  <c r="I241" i="27"/>
  <c r="I238" i="27" s="1"/>
  <c r="I237" i="27" s="1"/>
  <c r="I140" i="27"/>
  <c r="I122" i="27"/>
  <c r="I98" i="27"/>
  <c r="I79" i="27"/>
  <c r="Q81" i="27"/>
  <c r="I59" i="27"/>
  <c r="Q57" i="27"/>
  <c r="I40" i="27"/>
  <c r="Q42" i="27"/>
  <c r="I694" i="27"/>
  <c r="I595" i="27"/>
  <c r="I545" i="27"/>
  <c r="I542" i="27" s="1"/>
  <c r="I432" i="27"/>
  <c r="Q239" i="27"/>
  <c r="I200" i="27"/>
  <c r="Q120" i="27"/>
  <c r="Q773" i="27"/>
  <c r="Q692" i="27"/>
  <c r="Q676" i="27"/>
  <c r="Q583" i="27"/>
  <c r="Q543" i="27"/>
  <c r="Q433" i="27"/>
  <c r="Q138" i="27"/>
  <c r="I742" i="27"/>
  <c r="I721" i="27"/>
  <c r="I579" i="27"/>
  <c r="I517" i="27"/>
  <c r="Q518" i="27"/>
  <c r="I504" i="27"/>
  <c r="I467" i="27"/>
  <c r="I446" i="27"/>
  <c r="Q447" i="27"/>
  <c r="I400" i="27"/>
  <c r="Q398" i="27"/>
  <c r="I378" i="27"/>
  <c r="Q379" i="27"/>
  <c r="I354" i="27"/>
  <c r="Q355" i="27"/>
  <c r="Q327" i="27"/>
  <c r="I267" i="27"/>
  <c r="I159" i="27"/>
  <c r="Q161" i="27"/>
  <c r="I28" i="27"/>
  <c r="I21" i="27"/>
  <c r="I784" i="27"/>
  <c r="I713" i="27"/>
  <c r="I710" i="27" s="1"/>
  <c r="I703" i="27"/>
  <c r="I700" i="27" s="1"/>
  <c r="I587" i="27"/>
  <c r="I478" i="27"/>
  <c r="I405" i="27"/>
  <c r="I390" i="27"/>
  <c r="I293" i="27"/>
  <c r="I280" i="27"/>
  <c r="I226" i="27"/>
  <c r="I186" i="27"/>
  <c r="I131" i="27"/>
  <c r="I112" i="27"/>
  <c r="I91" i="27"/>
  <c r="I66" i="27"/>
  <c r="I49" i="27"/>
  <c r="I12" i="27"/>
  <c r="M38" i="26"/>
  <c r="M28" i="26"/>
  <c r="M27" i="26" s="1"/>
  <c r="Q27" i="26" s="1"/>
  <c r="I9" i="26"/>
  <c r="I7" i="26" s="1"/>
  <c r="M11" i="26"/>
  <c r="I19" i="26"/>
  <c r="I16" i="26" s="1"/>
  <c r="Q8" i="26"/>
  <c r="Q9" i="26"/>
  <c r="Q10" i="26"/>
  <c r="Q12" i="26"/>
  <c r="Q13" i="26"/>
  <c r="Q14" i="26"/>
  <c r="Q15" i="26"/>
  <c r="Q17" i="26"/>
  <c r="Q18" i="26"/>
  <c r="Q20" i="26"/>
  <c r="Q21" i="26"/>
  <c r="Q22" i="26"/>
  <c r="Q23" i="26"/>
  <c r="Q25" i="26"/>
  <c r="Q26" i="26"/>
  <c r="Q29" i="26"/>
  <c r="Q30" i="26"/>
  <c r="Q31" i="26"/>
  <c r="Q32" i="26"/>
  <c r="Q33" i="26"/>
  <c r="Q34" i="26"/>
  <c r="Q35" i="26"/>
  <c r="Q36" i="26"/>
  <c r="Q37" i="26"/>
  <c r="Q38" i="26"/>
  <c r="Q39" i="26"/>
  <c r="Q40" i="26"/>
  <c r="Q41" i="26"/>
  <c r="Q42" i="26"/>
  <c r="Q43" i="26"/>
  <c r="Q44" i="26"/>
  <c r="Q45" i="26"/>
  <c r="Q46" i="26"/>
  <c r="Q47" i="26"/>
  <c r="Q48" i="26"/>
  <c r="Q49" i="26"/>
  <c r="Q50" i="26"/>
  <c r="Q51" i="26"/>
  <c r="Q52" i="26"/>
  <c r="Q53" i="26"/>
  <c r="Q54" i="26"/>
  <c r="Q55" i="26"/>
  <c r="Q56" i="26"/>
  <c r="Q57" i="26"/>
  <c r="Q58" i="26"/>
  <c r="Q59" i="26"/>
  <c r="Q60" i="26"/>
  <c r="Q61" i="26"/>
  <c r="Q62" i="26"/>
  <c r="Q63" i="26"/>
  <c r="Q64" i="26"/>
  <c r="Q65" i="26"/>
  <c r="Q66" i="26"/>
  <c r="Q67" i="26"/>
  <c r="Q68" i="26"/>
  <c r="Q69" i="26"/>
  <c r="Q70" i="26"/>
  <c r="Q71" i="26"/>
  <c r="Q72" i="26"/>
  <c r="Q73" i="26"/>
  <c r="Q74" i="26"/>
  <c r="H13" i="15" l="1"/>
  <c r="Q405" i="27"/>
  <c r="Q587" i="27"/>
  <c r="Q504" i="27"/>
  <c r="M7" i="27"/>
  <c r="Q617" i="27"/>
  <c r="Q368" i="27"/>
  <c r="Q732" i="27"/>
  <c r="Q524" i="27"/>
  <c r="Q112" i="27"/>
  <c r="Q12" i="27"/>
  <c r="Q253" i="27"/>
  <c r="Q509" i="27"/>
  <c r="Q159" i="27"/>
  <c r="Q664" i="27"/>
  <c r="Q200" i="27"/>
  <c r="Q595" i="27"/>
  <c r="Q98" i="27"/>
  <c r="Q241" i="27"/>
  <c r="Q626" i="27"/>
  <c r="Q49" i="27"/>
  <c r="Q280" i="27"/>
  <c r="Q436" i="27"/>
  <c r="Q533" i="27"/>
  <c r="Q21" i="27"/>
  <c r="Q175" i="27"/>
  <c r="Q329" i="27"/>
  <c r="Q446" i="27"/>
  <c r="Q721" i="27"/>
  <c r="Q694" i="27"/>
  <c r="Q59" i="27"/>
  <c r="Q122" i="27"/>
  <c r="M173" i="27"/>
  <c r="Q675" i="27"/>
  <c r="Q748" i="27"/>
  <c r="Q753" i="27"/>
  <c r="Q66" i="27"/>
  <c r="Q478" i="27"/>
  <c r="Q28" i="27"/>
  <c r="Q742" i="27"/>
  <c r="Q344" i="27"/>
  <c r="Q454" i="27"/>
  <c r="Q147" i="27"/>
  <c r="Q293" i="27"/>
  <c r="Q552" i="27"/>
  <c r="Q703" i="27"/>
  <c r="Q216" i="27"/>
  <c r="Q517" i="27"/>
  <c r="Q432" i="27"/>
  <c r="Q140" i="27"/>
  <c r="Q416" i="27"/>
  <c r="Q684" i="27"/>
  <c r="M491" i="27"/>
  <c r="M490" i="27" s="1"/>
  <c r="Q91" i="27"/>
  <c r="Q226" i="27"/>
  <c r="Q570" i="27"/>
  <c r="Q713" i="27"/>
  <c r="Q354" i="27"/>
  <c r="Q400" i="27"/>
  <c r="Q467" i="27"/>
  <c r="Q579" i="27"/>
  <c r="Q545" i="27"/>
  <c r="Q40" i="27"/>
  <c r="Q79" i="27"/>
  <c r="Q776" i="27"/>
  <c r="Q424" i="27"/>
  <c r="Q561" i="27"/>
  <c r="Q303" i="27"/>
  <c r="Q319" i="27"/>
  <c r="Q653" i="27"/>
  <c r="Q65" i="31"/>
  <c r="Q28" i="26"/>
  <c r="I413" i="27"/>
  <c r="Q19" i="31"/>
  <c r="I5" i="31"/>
  <c r="E13" i="15" s="1"/>
  <c r="I650" i="27"/>
  <c r="Q603" i="27"/>
  <c r="I341" i="27"/>
  <c r="I681" i="27"/>
  <c r="Q378" i="27"/>
  <c r="I375" i="27"/>
  <c r="I672" i="27"/>
  <c r="I421" i="27"/>
  <c r="I37" i="27"/>
  <c r="I729" i="27"/>
  <c r="I623" i="27"/>
  <c r="I365" i="27"/>
  <c r="I364" i="27" s="1"/>
  <c r="I614" i="27"/>
  <c r="I290" i="27"/>
  <c r="I718" i="27"/>
  <c r="I316" i="27"/>
  <c r="I156" i="27"/>
  <c r="I300" i="27"/>
  <c r="I397" i="27"/>
  <c r="I213" i="27"/>
  <c r="I137" i="27"/>
  <c r="Q492" i="27"/>
  <c r="Q672" i="27"/>
  <c r="I18" i="27"/>
  <c r="I76" i="27"/>
  <c r="I197" i="27"/>
  <c r="I185" i="27" s="1"/>
  <c r="Q267" i="27"/>
  <c r="I326" i="27"/>
  <c r="I315" i="27" s="1"/>
  <c r="I501" i="27"/>
  <c r="I119" i="27"/>
  <c r="I443" i="27"/>
  <c r="I56" i="27"/>
  <c r="I88" i="27"/>
  <c r="Q375" i="27"/>
  <c r="I475" i="27"/>
  <c r="I9" i="27"/>
  <c r="I632" i="27"/>
  <c r="Q633" i="27"/>
  <c r="I223" i="27"/>
  <c r="Q131" i="27"/>
  <c r="I128" i="27"/>
  <c r="Q784" i="27"/>
  <c r="I781" i="27"/>
  <c r="I277" i="27"/>
  <c r="Q174" i="27"/>
  <c r="I691" i="27"/>
  <c r="Q186" i="27"/>
  <c r="Q390" i="27"/>
  <c r="I429" i="27"/>
  <c r="I464" i="27"/>
  <c r="Q763" i="27"/>
  <c r="I351" i="27"/>
  <c r="I739" i="27"/>
  <c r="I46" i="27"/>
  <c r="I109" i="27"/>
  <c r="Q16" i="26"/>
  <c r="I11" i="26"/>
  <c r="I6" i="26" s="1"/>
  <c r="Q19" i="26"/>
  <c r="M6" i="26"/>
  <c r="Q7" i="26"/>
  <c r="I47" i="25"/>
  <c r="J47" i="25" s="1"/>
  <c r="I23" i="25"/>
  <c r="J23" i="25" s="1"/>
  <c r="I9" i="25"/>
  <c r="M6" i="25"/>
  <c r="M19" i="25"/>
  <c r="M36" i="25"/>
  <c r="M39" i="25"/>
  <c r="I20" i="25"/>
  <c r="I27" i="25"/>
  <c r="I36" i="25"/>
  <c r="I39" i="25"/>
  <c r="I41" i="25"/>
  <c r="Q7" i="25"/>
  <c r="Q8" i="25"/>
  <c r="Q10" i="25"/>
  <c r="Q11" i="25"/>
  <c r="Q12" i="25"/>
  <c r="Q13" i="25"/>
  <c r="Q14" i="25"/>
  <c r="Q15" i="25"/>
  <c r="Q16" i="25"/>
  <c r="Q17" i="25"/>
  <c r="Q18" i="25"/>
  <c r="Q21" i="25"/>
  <c r="Q22" i="25"/>
  <c r="Q23" i="25"/>
  <c r="Q25" i="25"/>
  <c r="Q26" i="25"/>
  <c r="Q28" i="25"/>
  <c r="Q29" i="25"/>
  <c r="Q30" i="25"/>
  <c r="Q31" i="25"/>
  <c r="Q33" i="25"/>
  <c r="Q34" i="25"/>
  <c r="Q35" i="25"/>
  <c r="Q37" i="25"/>
  <c r="Q38" i="25"/>
  <c r="Q40" i="25"/>
  <c r="Q42" i="25"/>
  <c r="Q43" i="25"/>
  <c r="Q44" i="25"/>
  <c r="Q45" i="25"/>
  <c r="Q46" i="25"/>
  <c r="Q47" i="25"/>
  <c r="Q48" i="25"/>
  <c r="I212" i="27" l="1"/>
  <c r="I340" i="27"/>
  <c r="I289" i="27"/>
  <c r="Q9" i="25"/>
  <c r="I6" i="25"/>
  <c r="Q27" i="25"/>
  <c r="Q39" i="25"/>
  <c r="Q41" i="25"/>
  <c r="Q739" i="27"/>
  <c r="Q632" i="27"/>
  <c r="Q718" i="27"/>
  <c r="Q341" i="27"/>
  <c r="Q109" i="27"/>
  <c r="Q351" i="27"/>
  <c r="Q277" i="27"/>
  <c r="Q88" i="27"/>
  <c r="Q119" i="27"/>
  <c r="Q197" i="27"/>
  <c r="Q238" i="27"/>
  <c r="Q542" i="27"/>
  <c r="Q290" i="27"/>
  <c r="Q729" i="27"/>
  <c r="Q413" i="27"/>
  <c r="Q429" i="27"/>
  <c r="Q443" i="27"/>
  <c r="Q213" i="27"/>
  <c r="Q623" i="27"/>
  <c r="Q223" i="27"/>
  <c r="Q56" i="27"/>
  <c r="Q76" i="27"/>
  <c r="M6" i="27"/>
  <c r="Q156" i="27"/>
  <c r="Q37" i="27"/>
  <c r="Q650" i="27"/>
  <c r="Q128" i="27"/>
  <c r="Q300" i="27"/>
  <c r="Q700" i="27"/>
  <c r="Q781" i="27"/>
  <c r="Q475" i="27"/>
  <c r="Q501" i="27"/>
  <c r="Q250" i="27"/>
  <c r="Q614" i="27"/>
  <c r="Q46" i="27"/>
  <c r="Q464" i="27"/>
  <c r="Q661" i="27"/>
  <c r="Q326" i="27"/>
  <c r="Q18" i="27"/>
  <c r="Q137" i="27"/>
  <c r="Q397" i="27"/>
  <c r="Q316" i="27"/>
  <c r="Q365" i="27"/>
  <c r="Q421" i="27"/>
  <c r="Q681" i="27"/>
  <c r="Q5" i="31"/>
  <c r="I671" i="27"/>
  <c r="I613" i="27"/>
  <c r="Q613" i="27" s="1"/>
  <c r="I491" i="27"/>
  <c r="I728" i="27"/>
  <c r="I709" i="27"/>
  <c r="Q710" i="27"/>
  <c r="I762" i="27"/>
  <c r="I389" i="27"/>
  <c r="I266" i="27"/>
  <c r="I690" i="27"/>
  <c r="Q691" i="27"/>
  <c r="I8" i="27"/>
  <c r="Q9" i="27"/>
  <c r="I649" i="27"/>
  <c r="Q11" i="26"/>
  <c r="Q6" i="26"/>
  <c r="Q36" i="25"/>
  <c r="M5" i="25"/>
  <c r="Q20" i="25"/>
  <c r="I24" i="25"/>
  <c r="H10" i="15" l="1"/>
  <c r="Q24" i="25"/>
  <c r="H12" i="15"/>
  <c r="Q315" i="27"/>
  <c r="Q185" i="27"/>
  <c r="Q266" i="27"/>
  <c r="Q212" i="27"/>
  <c r="Q289" i="27"/>
  <c r="Q491" i="27"/>
  <c r="Q340" i="27"/>
  <c r="Q762" i="27"/>
  <c r="Q671" i="27"/>
  <c r="Q364" i="27"/>
  <c r="Q709" i="27"/>
  <c r="Q237" i="27"/>
  <c r="Q649" i="27"/>
  <c r="Q690" i="27"/>
  <c r="Q389" i="27"/>
  <c r="Q728" i="27"/>
  <c r="I173" i="27"/>
  <c r="I7" i="27"/>
  <c r="Q8" i="27"/>
  <c r="I612" i="27"/>
  <c r="I19" i="25"/>
  <c r="Q6" i="25"/>
  <c r="I62" i="23"/>
  <c r="I61" i="23"/>
  <c r="Q19" i="25" l="1"/>
  <c r="Q173" i="27"/>
  <c r="Q612" i="27"/>
  <c r="I490" i="27"/>
  <c r="Q7" i="27"/>
  <c r="I5" i="25"/>
  <c r="I27" i="24"/>
  <c r="Q5" i="25" l="1"/>
  <c r="E10" i="15"/>
  <c r="Q490" i="27"/>
  <c r="I6" i="27"/>
  <c r="E12" i="15" s="1"/>
  <c r="M40" i="24"/>
  <c r="M51" i="24"/>
  <c r="M62" i="24"/>
  <c r="I7" i="24"/>
  <c r="I14" i="24"/>
  <c r="I24" i="24"/>
  <c r="I34" i="24"/>
  <c r="I44" i="24"/>
  <c r="I51" i="24"/>
  <c r="I66" i="24"/>
  <c r="Q8" i="24"/>
  <c r="Q9" i="24"/>
  <c r="Q10" i="24"/>
  <c r="Q12" i="24"/>
  <c r="Q13" i="24"/>
  <c r="Q15" i="24"/>
  <c r="Q16" i="24"/>
  <c r="Q17" i="24"/>
  <c r="Q18" i="24"/>
  <c r="Q19" i="24"/>
  <c r="Q20" i="24"/>
  <c r="Q22" i="24"/>
  <c r="Q23" i="24"/>
  <c r="Q25" i="24"/>
  <c r="Q26" i="24"/>
  <c r="Q27" i="24"/>
  <c r="Q28" i="24"/>
  <c r="Q29" i="24"/>
  <c r="Q32" i="24"/>
  <c r="Q33" i="24"/>
  <c r="Q35" i="24"/>
  <c r="Q36" i="24"/>
  <c r="Q37" i="24"/>
  <c r="Q38" i="24"/>
  <c r="Q39" i="24"/>
  <c r="Q42" i="24"/>
  <c r="Q43" i="24"/>
  <c r="Q45" i="24"/>
  <c r="Q46" i="24"/>
  <c r="Q47" i="24"/>
  <c r="Q48" i="24"/>
  <c r="Q49" i="24"/>
  <c r="Q50" i="24"/>
  <c r="Q52" i="24"/>
  <c r="Q53" i="24"/>
  <c r="Q54" i="24"/>
  <c r="Q55" i="24"/>
  <c r="Q56" i="24"/>
  <c r="Q57" i="24"/>
  <c r="Q58" i="24"/>
  <c r="Q59" i="24"/>
  <c r="Q60" i="24"/>
  <c r="Q61" i="24"/>
  <c r="Q64" i="24"/>
  <c r="Q65" i="24"/>
  <c r="Q67" i="24"/>
  <c r="Q68" i="24"/>
  <c r="Q69" i="24"/>
  <c r="Q70" i="24"/>
  <c r="Q71" i="24"/>
  <c r="Q72" i="24"/>
  <c r="I67" i="23"/>
  <c r="Q14" i="24" l="1"/>
  <c r="Q7" i="24"/>
  <c r="Q6" i="27"/>
  <c r="Q51" i="24"/>
  <c r="M6" i="24"/>
  <c r="Q44" i="24"/>
  <c r="I41" i="24"/>
  <c r="I21" i="24"/>
  <c r="Q24" i="24"/>
  <c r="I11" i="24"/>
  <c r="Q66" i="24"/>
  <c r="I63" i="24"/>
  <c r="Q34" i="24"/>
  <c r="I31" i="24"/>
  <c r="Q11" i="24" l="1"/>
  <c r="H9" i="15"/>
  <c r="Q21" i="24"/>
  <c r="I30" i="24"/>
  <c r="Q31" i="24"/>
  <c r="I40" i="24"/>
  <c r="Q41" i="24"/>
  <c r="I62" i="24"/>
  <c r="Q63" i="24"/>
  <c r="M32" i="23"/>
  <c r="M7" i="23"/>
  <c r="M14" i="23"/>
  <c r="M18" i="23"/>
  <c r="M22" i="23"/>
  <c r="M59" i="23"/>
  <c r="M66" i="23"/>
  <c r="I7" i="23"/>
  <c r="I12" i="23"/>
  <c r="I14" i="23"/>
  <c r="I18" i="23"/>
  <c r="I22" i="23"/>
  <c r="I38" i="23"/>
  <c r="I49" i="23"/>
  <c r="I56" i="23"/>
  <c r="I59" i="23"/>
  <c r="I66" i="23"/>
  <c r="Q8" i="23"/>
  <c r="Q9" i="23"/>
  <c r="Q10" i="23"/>
  <c r="Q13" i="23"/>
  <c r="Q15" i="23"/>
  <c r="Q16" i="23"/>
  <c r="Q17" i="23"/>
  <c r="Q19" i="23"/>
  <c r="Q20" i="23"/>
  <c r="Q21" i="23"/>
  <c r="Q23" i="23"/>
  <c r="Q24" i="23"/>
  <c r="Q25" i="23"/>
  <c r="Q27" i="23"/>
  <c r="Q28" i="23"/>
  <c r="Q29" i="23"/>
  <c r="Q30" i="23"/>
  <c r="Q31" i="23"/>
  <c r="Q34" i="23"/>
  <c r="Q36" i="23"/>
  <c r="Q37" i="23"/>
  <c r="Q39" i="23"/>
  <c r="Q40" i="23"/>
  <c r="Q41" i="23"/>
  <c r="Q42" i="23"/>
  <c r="Q43" i="23"/>
  <c r="Q44" i="23"/>
  <c r="Q45" i="23"/>
  <c r="Q47" i="23"/>
  <c r="Q48" i="23"/>
  <c r="Q50" i="23"/>
  <c r="Q51" i="23"/>
  <c r="Q52" i="23"/>
  <c r="Q53" i="23"/>
  <c r="Q54" i="23"/>
  <c r="Q55" i="23"/>
  <c r="Q57" i="23"/>
  <c r="Q58" i="23"/>
  <c r="Q60" i="23"/>
  <c r="Q61" i="23"/>
  <c r="Q62" i="23"/>
  <c r="Q64" i="23"/>
  <c r="Q65" i="23"/>
  <c r="Q67" i="23"/>
  <c r="Q68" i="23"/>
  <c r="Q69" i="23"/>
  <c r="Q70" i="23"/>
  <c r="K32" i="15"/>
  <c r="K38" i="15"/>
  <c r="K10" i="15"/>
  <c r="K11" i="15"/>
  <c r="K12" i="15"/>
  <c r="K13" i="15"/>
  <c r="K14" i="15"/>
  <c r="K15" i="15"/>
  <c r="K16" i="15"/>
  <c r="K17" i="15"/>
  <c r="I13" i="22"/>
  <c r="I12" i="22" s="1"/>
  <c r="Q12" i="22" s="1"/>
  <c r="I8" i="22"/>
  <c r="M6" i="22"/>
  <c r="I7" i="22"/>
  <c r="Q7" i="22" s="1"/>
  <c r="Q10" i="22"/>
  <c r="R10" i="22"/>
  <c r="R12" i="22"/>
  <c r="R7" i="22"/>
  <c r="Q8" i="22"/>
  <c r="R8" i="22"/>
  <c r="Q9" i="22"/>
  <c r="R9" i="22"/>
  <c r="Q11" i="22"/>
  <c r="R11" i="22"/>
  <c r="R13" i="22"/>
  <c r="Q14" i="22"/>
  <c r="R14" i="22"/>
  <c r="Q15" i="22"/>
  <c r="R15" i="22"/>
  <c r="Q40" i="24" l="1"/>
  <c r="Q62" i="24"/>
  <c r="Q12" i="23"/>
  <c r="M26" i="23"/>
  <c r="Q14" i="23"/>
  <c r="Q56" i="23"/>
  <c r="K31" i="15"/>
  <c r="Q38" i="23"/>
  <c r="I46" i="23"/>
  <c r="Q7" i="23"/>
  <c r="Q13" i="22"/>
  <c r="Q22" i="23"/>
  <c r="Q66" i="23"/>
  <c r="Q30" i="24"/>
  <c r="I6" i="24"/>
  <c r="E9" i="15" s="1"/>
  <c r="K9" i="15" s="1"/>
  <c r="Q32" i="23"/>
  <c r="I11" i="23"/>
  <c r="M11" i="23"/>
  <c r="Q59" i="23"/>
  <c r="Q18" i="23"/>
  <c r="Q49" i="23"/>
  <c r="I35" i="23"/>
  <c r="R6" i="22"/>
  <c r="I6" i="22"/>
  <c r="I60" i="21"/>
  <c r="M6" i="23" l="1"/>
  <c r="Q46" i="23"/>
  <c r="Q6" i="24"/>
  <c r="Q6" i="22"/>
  <c r="E7" i="15"/>
  <c r="Q11" i="23"/>
  <c r="I26" i="23"/>
  <c r="Q35" i="23"/>
  <c r="I8" i="21"/>
  <c r="H8" i="15" l="1"/>
  <c r="K7" i="15"/>
  <c r="Q26" i="23"/>
  <c r="I6" i="23"/>
  <c r="E8" i="15" s="1"/>
  <c r="K8" i="15" s="1"/>
  <c r="Q8" i="21"/>
  <c r="Q9" i="21"/>
  <c r="Q10" i="21"/>
  <c r="Q11" i="21"/>
  <c r="Q12" i="21"/>
  <c r="Q14" i="21"/>
  <c r="Q16" i="21"/>
  <c r="Q18" i="21"/>
  <c r="Q20" i="21"/>
  <c r="Q21" i="21"/>
  <c r="Q22" i="21"/>
  <c r="Q23" i="21"/>
  <c r="Q24" i="21"/>
  <c r="Q26" i="21"/>
  <c r="Q27" i="21"/>
  <c r="Q28" i="21"/>
  <c r="Q29" i="21"/>
  <c r="Q30" i="21"/>
  <c r="Q31" i="21"/>
  <c r="Q32" i="21"/>
  <c r="Q33" i="21"/>
  <c r="Q34" i="21"/>
  <c r="Q36" i="21"/>
  <c r="R36" i="21" s="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3" i="21"/>
  <c r="Q54" i="21"/>
  <c r="Q55" i="21"/>
  <c r="Q56" i="21"/>
  <c r="Q57" i="21"/>
  <c r="Q58" i="21"/>
  <c r="Q60" i="21"/>
  <c r="Q61" i="21"/>
  <c r="Q62" i="21"/>
  <c r="Q63" i="21"/>
  <c r="Q64" i="21"/>
  <c r="Q65" i="21"/>
  <c r="Q66" i="21"/>
  <c r="Q67" i="21"/>
  <c r="Q68" i="21"/>
  <c r="Q69" i="21"/>
  <c r="Q70" i="21"/>
  <c r="M6" i="21"/>
  <c r="M25" i="21"/>
  <c r="N25" i="21" s="1"/>
  <c r="M35" i="21"/>
  <c r="N35" i="21" s="1"/>
  <c r="I7" i="21"/>
  <c r="I13" i="21"/>
  <c r="Q13" i="21" s="1"/>
  <c r="I15" i="21"/>
  <c r="Q15" i="21" s="1"/>
  <c r="I17" i="21"/>
  <c r="Q17" i="21" s="1"/>
  <c r="I19" i="21"/>
  <c r="Q19" i="21" s="1"/>
  <c r="I25" i="21"/>
  <c r="I35" i="21"/>
  <c r="J35" i="21" s="1"/>
  <c r="I52" i="21"/>
  <c r="Q52" i="21" s="1"/>
  <c r="I59" i="21"/>
  <c r="Q59" i="21" s="1"/>
  <c r="I282" i="7"/>
  <c r="J282" i="7" s="1"/>
  <c r="I306" i="7"/>
  <c r="I257" i="7"/>
  <c r="I253" i="7" s="1"/>
  <c r="I285" i="7"/>
  <c r="I279" i="7"/>
  <c r="J279" i="7" s="1"/>
  <c r="I304" i="7"/>
  <c r="I39" i="7"/>
  <c r="I34" i="7"/>
  <c r="J34" i="7" s="1"/>
  <c r="I31" i="7"/>
  <c r="I33" i="7"/>
  <c r="J33" i="7" s="1"/>
  <c r="I299" i="7"/>
  <c r="I159" i="7"/>
  <c r="I170" i="7"/>
  <c r="I182" i="7"/>
  <c r="I205" i="7"/>
  <c r="I214" i="7"/>
  <c r="I217" i="7"/>
  <c r="I72" i="7"/>
  <c r="I89" i="7"/>
  <c r="I95" i="7"/>
  <c r="I103" i="7"/>
  <c r="I109" i="7"/>
  <c r="I124" i="7"/>
  <c r="I126" i="7"/>
  <c r="I9" i="7"/>
  <c r="I18" i="7"/>
  <c r="I47" i="7"/>
  <c r="I53" i="7"/>
  <c r="I71" i="7" l="1"/>
  <c r="I302" i="7"/>
  <c r="I298" i="7" s="1"/>
  <c r="J304" i="7"/>
  <c r="I128" i="7"/>
  <c r="I122" i="7" s="1"/>
  <c r="I169" i="7"/>
  <c r="I29" i="7"/>
  <c r="I158" i="7"/>
  <c r="I51" i="7"/>
  <c r="I12" i="7"/>
  <c r="I7" i="7" s="1"/>
  <c r="I87" i="7"/>
  <c r="I37" i="7"/>
  <c r="J39" i="7"/>
  <c r="Q6" i="23"/>
  <c r="Q35" i="21"/>
  <c r="R35" i="21" s="1"/>
  <c r="Q25" i="21"/>
  <c r="I6" i="21"/>
  <c r="Q6" i="21" s="1"/>
  <c r="Q7" i="21"/>
  <c r="M5" i="21"/>
  <c r="I204" i="7"/>
  <c r="I157" i="7" l="1"/>
  <c r="I27" i="7"/>
  <c r="I259" i="7"/>
  <c r="I36" i="7"/>
  <c r="I296" i="7"/>
  <c r="H6" i="15"/>
  <c r="N5" i="21"/>
  <c r="I5" i="21"/>
  <c r="J5" i="21" s="1"/>
  <c r="H108" i="30"/>
  <c r="J108" i="30" s="1"/>
  <c r="H136" i="30"/>
  <c r="J136" i="30" s="1"/>
  <c r="I251" i="7" l="1"/>
  <c r="I26" i="7"/>
  <c r="I311" i="7"/>
  <c r="H4" i="15"/>
  <c r="Q5" i="21"/>
  <c r="R5" i="21" s="1"/>
  <c r="E6" i="15"/>
  <c r="H139" i="30"/>
  <c r="J139" i="30" s="1"/>
  <c r="H112" i="30"/>
  <c r="J112" i="30" s="1"/>
  <c r="H107" i="30"/>
  <c r="J107" i="30" s="1"/>
  <c r="H70" i="30"/>
  <c r="J70" i="30" s="1"/>
  <c r="H64" i="30"/>
  <c r="J64" i="30" s="1"/>
  <c r="H92" i="30"/>
  <c r="J92" i="30" s="1"/>
  <c r="H16" i="30"/>
  <c r="J16" i="30" s="1"/>
  <c r="H12" i="30"/>
  <c r="J12" i="30" s="1"/>
  <c r="H10" i="30"/>
  <c r="J10" i="30" s="1"/>
  <c r="H9" i="30"/>
  <c r="J9" i="30" s="1"/>
  <c r="H30" i="33"/>
  <c r="J30" i="33" s="1"/>
  <c r="H253" i="7"/>
  <c r="J253" i="7" s="1"/>
  <c r="H72" i="31"/>
  <c r="J72" i="31" s="1"/>
  <c r="H70" i="31"/>
  <c r="J70" i="31" s="1"/>
  <c r="H17" i="24"/>
  <c r="J17" i="24" s="1"/>
  <c r="H16" i="24"/>
  <c r="J16" i="24" s="1"/>
  <c r="H25" i="23"/>
  <c r="J25" i="23" s="1"/>
  <c r="H24" i="23"/>
  <c r="J24" i="23" s="1"/>
  <c r="H224" i="7"/>
  <c r="H485" i="27"/>
  <c r="J485" i="27" s="1"/>
  <c r="H484" i="27"/>
  <c r="J484" i="27" s="1"/>
  <c r="H481" i="27"/>
  <c r="J481" i="27" s="1"/>
  <c r="H479" i="27"/>
  <c r="J479" i="27" s="1"/>
  <c r="H477" i="27"/>
  <c r="J477" i="27" s="1"/>
  <c r="H476" i="27"/>
  <c r="J476" i="27" s="1"/>
  <c r="H218" i="7"/>
  <c r="J218" i="7" s="1"/>
  <c r="H287" i="27"/>
  <c r="J287" i="27" s="1"/>
  <c r="H46" i="34"/>
  <c r="J46" i="34" s="1"/>
  <c r="P49" i="34"/>
  <c r="R49" i="34" s="1"/>
  <c r="P18" i="20"/>
  <c r="R18" i="20" s="1"/>
  <c r="H17" i="20"/>
  <c r="J17" i="20" s="1"/>
  <c r="H16" i="20"/>
  <c r="J16" i="20" s="1"/>
  <c r="J224" i="7" l="1"/>
  <c r="I24" i="7"/>
  <c r="I321" i="7"/>
  <c r="H3" i="15"/>
  <c r="H20" i="15" s="1"/>
  <c r="K6" i="15"/>
  <c r="E4" i="15"/>
  <c r="K4" i="15" s="1"/>
  <c r="H646" i="27"/>
  <c r="J646" i="27" s="1"/>
  <c r="I289" i="7" l="1"/>
  <c r="H256" i="27"/>
  <c r="J256" i="27" s="1"/>
  <c r="H207" i="7"/>
  <c r="J207" i="7" s="1"/>
  <c r="H172" i="7"/>
  <c r="J172" i="7" s="1"/>
  <c r="L314" i="27"/>
  <c r="N314" i="27" s="1"/>
  <c r="L59" i="24"/>
  <c r="N59" i="24" s="1"/>
  <c r="H470" i="27"/>
  <c r="J470" i="27" s="1"/>
  <c r="H62" i="23"/>
  <c r="J62" i="23" s="1"/>
  <c r="H61" i="23"/>
  <c r="J61" i="23" s="1"/>
  <c r="H60" i="23"/>
  <c r="J60" i="23" s="1"/>
  <c r="H19" i="24"/>
  <c r="J19" i="24" s="1"/>
  <c r="H15" i="24"/>
  <c r="J15" i="24" s="1"/>
  <c r="H12" i="24"/>
  <c r="J12" i="24" s="1"/>
  <c r="H118" i="7"/>
  <c r="J118" i="7" s="1"/>
  <c r="P144" i="30"/>
  <c r="R144" i="30" s="1"/>
  <c r="H143" i="30"/>
  <c r="J143" i="30" s="1"/>
  <c r="H142" i="30"/>
  <c r="J142" i="30" s="1"/>
  <c r="H140" i="30"/>
  <c r="J140" i="30" s="1"/>
  <c r="H132" i="30"/>
  <c r="J132" i="30" s="1"/>
  <c r="H130" i="30"/>
  <c r="J130" i="30" s="1"/>
  <c r="H127" i="30"/>
  <c r="J127" i="30" s="1"/>
  <c r="H114" i="30"/>
  <c r="J114" i="30" s="1"/>
  <c r="H113" i="30"/>
  <c r="J113" i="30" s="1"/>
  <c r="H111" i="30"/>
  <c r="J111" i="30" s="1"/>
  <c r="H110" i="30"/>
  <c r="J110" i="30" s="1"/>
  <c r="H97" i="30"/>
  <c r="J97" i="30" s="1"/>
  <c r="H96" i="30"/>
  <c r="J96" i="30" s="1"/>
  <c r="H95" i="30"/>
  <c r="J95" i="30" s="1"/>
  <c r="H93" i="30"/>
  <c r="J93" i="30" s="1"/>
  <c r="H88" i="30"/>
  <c r="J88" i="30" s="1"/>
  <c r="H72" i="30"/>
  <c r="J72" i="30" s="1"/>
  <c r="H71" i="30"/>
  <c r="J71" i="30" s="1"/>
  <c r="H41" i="30"/>
  <c r="J41" i="30" s="1"/>
  <c r="H40" i="30"/>
  <c r="J40" i="30" s="1"/>
  <c r="H39" i="30"/>
  <c r="J39" i="30" s="1"/>
  <c r="H38" i="30"/>
  <c r="J38" i="30" s="1"/>
  <c r="H35" i="30"/>
  <c r="J35" i="30" s="1"/>
  <c r="H14" i="30"/>
  <c r="J14" i="30" s="1"/>
  <c r="H13" i="30"/>
  <c r="J13" i="30" s="1"/>
  <c r="H177" i="27"/>
  <c r="J177" i="27" s="1"/>
  <c r="H176" i="27"/>
  <c r="J176" i="27" s="1"/>
  <c r="H328" i="27"/>
  <c r="J328" i="27" s="1"/>
  <c r="H327" i="27"/>
  <c r="J327" i="27" s="1"/>
  <c r="H318" i="27"/>
  <c r="J318" i="27" s="1"/>
  <c r="H317" i="27"/>
  <c r="J317" i="27" s="1"/>
  <c r="H225" i="27"/>
  <c r="J225" i="27" s="1"/>
  <c r="H224" i="27"/>
  <c r="J224" i="27" s="1"/>
  <c r="H215" i="27"/>
  <c r="J215" i="27" s="1"/>
  <c r="H214" i="27"/>
  <c r="J214" i="27" s="1"/>
  <c r="H252" i="27"/>
  <c r="J252" i="27" s="1"/>
  <c r="H251" i="27"/>
  <c r="J251" i="27" s="1"/>
  <c r="H240" i="27"/>
  <c r="J240" i="27" s="1"/>
  <c r="H239" i="27"/>
  <c r="J239" i="27" s="1"/>
  <c r="H199" i="27"/>
  <c r="J199" i="27" s="1"/>
  <c r="H198" i="27"/>
  <c r="J198" i="27" s="1"/>
  <c r="H188" i="27"/>
  <c r="J188" i="27" s="1"/>
  <c r="H187" i="27"/>
  <c r="J187" i="27" s="1"/>
  <c r="H377" i="27"/>
  <c r="J377" i="27" s="1"/>
  <c r="H376" i="27"/>
  <c r="J376" i="27" s="1"/>
  <c r="H367" i="27"/>
  <c r="J367" i="27" s="1"/>
  <c r="H366" i="27"/>
  <c r="J366" i="27" s="1"/>
  <c r="H302" i="27"/>
  <c r="J302" i="27" s="1"/>
  <c r="H301" i="27"/>
  <c r="J301" i="27" s="1"/>
  <c r="H292" i="27"/>
  <c r="J292" i="27" s="1"/>
  <c r="H291" i="27"/>
  <c r="J291" i="27" s="1"/>
  <c r="H353" i="27"/>
  <c r="J353" i="27" s="1"/>
  <c r="H352" i="27"/>
  <c r="J352" i="27" s="1"/>
  <c r="H343" i="27"/>
  <c r="J343" i="27" s="1"/>
  <c r="H342" i="27"/>
  <c r="J342" i="27" s="1"/>
  <c r="H279" i="27"/>
  <c r="J279" i="27" s="1"/>
  <c r="H278" i="27"/>
  <c r="J278" i="27" s="1"/>
  <c r="H269" i="27"/>
  <c r="J269" i="27" s="1"/>
  <c r="H268" i="27"/>
  <c r="J268" i="27" s="1"/>
  <c r="H261" i="7"/>
  <c r="J261" i="7" s="1"/>
  <c r="L21" i="23"/>
  <c r="N21" i="23" s="1"/>
  <c r="I320" i="7" l="1"/>
  <c r="E3" i="15"/>
  <c r="H78" i="34"/>
  <c r="J78" i="34" s="1"/>
  <c r="H69" i="34"/>
  <c r="J69" i="34" s="1"/>
  <c r="H23" i="34"/>
  <c r="J23" i="34" s="1"/>
  <c r="H14" i="34"/>
  <c r="J14" i="34" s="1"/>
  <c r="P18" i="31"/>
  <c r="R18" i="31" s="1"/>
  <c r="H747" i="27"/>
  <c r="J747" i="27" s="1"/>
  <c r="H744" i="27"/>
  <c r="J744" i="27" s="1"/>
  <c r="H743" i="27"/>
  <c r="J743" i="27" s="1"/>
  <c r="H741" i="27"/>
  <c r="J741" i="27" s="1"/>
  <c r="H740" i="27"/>
  <c r="J740" i="27" s="1"/>
  <c r="H737" i="27"/>
  <c r="J737" i="27" s="1"/>
  <c r="H734" i="27"/>
  <c r="J734" i="27" s="1"/>
  <c r="H733" i="27"/>
  <c r="J733" i="27" s="1"/>
  <c r="H731" i="27"/>
  <c r="J731" i="27" s="1"/>
  <c r="H730" i="27"/>
  <c r="J730" i="27" s="1"/>
  <c r="H726" i="27"/>
  <c r="J726" i="27" s="1"/>
  <c r="H725" i="27"/>
  <c r="J725" i="27" s="1"/>
  <c r="H716" i="27"/>
  <c r="J716" i="27" s="1"/>
  <c r="H715" i="27"/>
  <c r="J715" i="27" s="1"/>
  <c r="H714" i="27"/>
  <c r="J714" i="27" s="1"/>
  <c r="H689" i="27"/>
  <c r="J689" i="27" s="1"/>
  <c r="H688" i="27"/>
  <c r="J688" i="27" s="1"/>
  <c r="H687" i="27"/>
  <c r="J687" i="27" s="1"/>
  <c r="H686" i="27"/>
  <c r="J686" i="27" s="1"/>
  <c r="H685" i="27"/>
  <c r="J685" i="27" s="1"/>
  <c r="H682" i="27"/>
  <c r="J682" i="27" s="1"/>
  <c r="H680" i="27"/>
  <c r="J680" i="27" s="1"/>
  <c r="H679" i="27"/>
  <c r="J679" i="27" s="1"/>
  <c r="H678" i="27"/>
  <c r="J678" i="27" s="1"/>
  <c r="H677" i="27"/>
  <c r="J677" i="27" s="1"/>
  <c r="H676" i="27"/>
  <c r="J676" i="27" s="1"/>
  <c r="H673" i="27"/>
  <c r="J673" i="27" s="1"/>
  <c r="H669" i="27"/>
  <c r="J669" i="27" s="1"/>
  <c r="H668" i="27"/>
  <c r="J668" i="27" s="1"/>
  <c r="H667" i="27"/>
  <c r="J667" i="27" s="1"/>
  <c r="H658" i="27"/>
  <c r="J658" i="27" s="1"/>
  <c r="H657" i="27"/>
  <c r="J657" i="27" s="1"/>
  <c r="H655" i="27"/>
  <c r="J655" i="27" s="1"/>
  <c r="H630" i="27"/>
  <c r="J630" i="27" s="1"/>
  <c r="H629" i="27"/>
  <c r="J629" i="27" s="1"/>
  <c r="H628" i="27"/>
  <c r="J628" i="27" s="1"/>
  <c r="H625" i="27"/>
  <c r="J625" i="27" s="1"/>
  <c r="H624" i="27"/>
  <c r="J624" i="27" s="1"/>
  <c r="H622" i="27"/>
  <c r="J622" i="27" s="1"/>
  <c r="H620" i="27"/>
  <c r="J620" i="27" s="1"/>
  <c r="H619" i="27"/>
  <c r="J619" i="27" s="1"/>
  <c r="H618" i="27"/>
  <c r="J618" i="27" s="1"/>
  <c r="H616" i="27"/>
  <c r="J616" i="27" s="1"/>
  <c r="H615" i="27"/>
  <c r="J615" i="27" s="1"/>
  <c r="H483" i="27"/>
  <c r="J483" i="27" s="1"/>
  <c r="P482" i="27"/>
  <c r="R482" i="27" s="1"/>
  <c r="H474" i="27"/>
  <c r="J474" i="27" s="1"/>
  <c r="H473" i="27"/>
  <c r="J473" i="27" s="1"/>
  <c r="H471" i="27"/>
  <c r="J471" i="27" s="1"/>
  <c r="H469" i="27"/>
  <c r="J469" i="27" s="1"/>
  <c r="H466" i="27"/>
  <c r="J466" i="27" s="1"/>
  <c r="H465" i="27"/>
  <c r="J465" i="27" s="1"/>
  <c r="H456" i="27"/>
  <c r="J456" i="27" s="1"/>
  <c r="H438" i="27"/>
  <c r="J438" i="27" s="1"/>
  <c r="H437" i="27"/>
  <c r="H435" i="27"/>
  <c r="J435" i="27" s="1"/>
  <c r="H434" i="27"/>
  <c r="J434" i="27" s="1"/>
  <c r="H428" i="27"/>
  <c r="J428" i="27" s="1"/>
  <c r="H426" i="27"/>
  <c r="J426" i="27" s="1"/>
  <c r="H425" i="27"/>
  <c r="J425" i="27" s="1"/>
  <c r="H412" i="27"/>
  <c r="J412" i="27" s="1"/>
  <c r="H406" i="27"/>
  <c r="J406" i="27" s="1"/>
  <c r="H404" i="27"/>
  <c r="J404" i="27" s="1"/>
  <c r="H403" i="27"/>
  <c r="J403" i="27" s="1"/>
  <c r="H402" i="27"/>
  <c r="J402" i="27" s="1"/>
  <c r="H401" i="27"/>
  <c r="J401" i="27" s="1"/>
  <c r="H399" i="27"/>
  <c r="J399" i="27" s="1"/>
  <c r="H398" i="27"/>
  <c r="J398" i="27" s="1"/>
  <c r="H383" i="27"/>
  <c r="J383" i="27" s="1"/>
  <c r="H382" i="27"/>
  <c r="J382" i="27" s="1"/>
  <c r="H381" i="27"/>
  <c r="J381" i="27" s="1"/>
  <c r="H380" i="27"/>
  <c r="J380" i="27" s="1"/>
  <c r="H379" i="27"/>
  <c r="J379" i="27" s="1"/>
  <c r="H374" i="27"/>
  <c r="J374" i="27" s="1"/>
  <c r="H372" i="27"/>
  <c r="J372" i="27" s="1"/>
  <c r="H371" i="27"/>
  <c r="J371" i="27" s="1"/>
  <c r="H370" i="27"/>
  <c r="J370" i="27" s="1"/>
  <c r="H369" i="27"/>
  <c r="J369" i="27" s="1"/>
  <c r="H361" i="27"/>
  <c r="J361" i="27" s="1"/>
  <c r="H359" i="27"/>
  <c r="J359" i="27" s="1"/>
  <c r="H358" i="27"/>
  <c r="J358" i="27" s="1"/>
  <c r="H357" i="27"/>
  <c r="J357" i="27" s="1"/>
  <c r="H356" i="27"/>
  <c r="J356" i="27" s="1"/>
  <c r="H355" i="27"/>
  <c r="J355" i="27" s="1"/>
  <c r="H349" i="27"/>
  <c r="J349" i="27" s="1"/>
  <c r="H348" i="27"/>
  <c r="J348" i="27" s="1"/>
  <c r="H347" i="27"/>
  <c r="J347" i="27" s="1"/>
  <c r="H346" i="27"/>
  <c r="J346" i="27" s="1"/>
  <c r="H345" i="27"/>
  <c r="J345" i="27" s="1"/>
  <c r="H337" i="27"/>
  <c r="J337" i="27" s="1"/>
  <c r="H335" i="27"/>
  <c r="J335" i="27" s="1"/>
  <c r="H334" i="27"/>
  <c r="J334" i="27" s="1"/>
  <c r="H333" i="27"/>
  <c r="J333" i="27" s="1"/>
  <c r="H332" i="27"/>
  <c r="J332" i="27" s="1"/>
  <c r="H331" i="27"/>
  <c r="J331" i="27" s="1"/>
  <c r="H325" i="27"/>
  <c r="J325" i="27" s="1"/>
  <c r="H324" i="27"/>
  <c r="J324" i="27" s="1"/>
  <c r="P323" i="27"/>
  <c r="R323" i="27" s="1"/>
  <c r="H322" i="27"/>
  <c r="J322" i="27" s="1"/>
  <c r="H321" i="27"/>
  <c r="J321" i="27" s="1"/>
  <c r="H320" i="27"/>
  <c r="J320" i="27" s="1"/>
  <c r="H310" i="27"/>
  <c r="J310" i="27" s="1"/>
  <c r="H308" i="27"/>
  <c r="J308" i="27" s="1"/>
  <c r="H307" i="27"/>
  <c r="J307" i="27" s="1"/>
  <c r="H306" i="27"/>
  <c r="J306" i="27" s="1"/>
  <c r="H305" i="27"/>
  <c r="J305" i="27" s="1"/>
  <c r="H304" i="27"/>
  <c r="J304" i="27" s="1"/>
  <c r="H299" i="27"/>
  <c r="J299" i="27" s="1"/>
  <c r="H298" i="27"/>
  <c r="J298" i="27" s="1"/>
  <c r="H297" i="27"/>
  <c r="J297" i="27" s="1"/>
  <c r="H296" i="27"/>
  <c r="J296" i="27" s="1"/>
  <c r="H295" i="27"/>
  <c r="J295" i="27" s="1"/>
  <c r="H294" i="27"/>
  <c r="J294" i="27" s="1"/>
  <c r="H288" i="27"/>
  <c r="J288" i="27" s="1"/>
  <c r="H285" i="27"/>
  <c r="J285" i="27" s="1"/>
  <c r="H283" i="27"/>
  <c r="J283" i="27" s="1"/>
  <c r="H282" i="27"/>
  <c r="J282" i="27" s="1"/>
  <c r="H276" i="27"/>
  <c r="J276" i="27" s="1"/>
  <c r="H274" i="27"/>
  <c r="J274" i="27" s="1"/>
  <c r="H273" i="27"/>
  <c r="J273" i="27" s="1"/>
  <c r="H272" i="27"/>
  <c r="J272" i="27" s="1"/>
  <c r="H271" i="27"/>
  <c r="J271" i="27" s="1"/>
  <c r="H261" i="27"/>
  <c r="J261" i="27" s="1"/>
  <c r="H258" i="27"/>
  <c r="J258" i="27" s="1"/>
  <c r="H257" i="27"/>
  <c r="J257" i="27" s="1"/>
  <c r="H255" i="27"/>
  <c r="J255" i="27" s="1"/>
  <c r="H254" i="27"/>
  <c r="J254" i="27" s="1"/>
  <c r="H248" i="27"/>
  <c r="J248" i="27" s="1"/>
  <c r="H247" i="27"/>
  <c r="J247" i="27" s="1"/>
  <c r="H246" i="27"/>
  <c r="J246" i="27" s="1"/>
  <c r="H245" i="27"/>
  <c r="J245" i="27" s="1"/>
  <c r="H244" i="27"/>
  <c r="J244" i="27" s="1"/>
  <c r="H243" i="27"/>
  <c r="J243" i="27" s="1"/>
  <c r="H242" i="27"/>
  <c r="J242" i="27" s="1"/>
  <c r="H234" i="27"/>
  <c r="J234" i="27" s="1"/>
  <c r="H232" i="27"/>
  <c r="J232" i="27" s="1"/>
  <c r="H231" i="27"/>
  <c r="J231" i="27" s="1"/>
  <c r="H230" i="27"/>
  <c r="J230" i="27" s="1"/>
  <c r="H229" i="27"/>
  <c r="J229" i="27" s="1"/>
  <c r="H228" i="27"/>
  <c r="J228" i="27" s="1"/>
  <c r="H222" i="27"/>
  <c r="J222" i="27" s="1"/>
  <c r="H221" i="27"/>
  <c r="J221" i="27" s="1"/>
  <c r="H220" i="27"/>
  <c r="J220" i="27" s="1"/>
  <c r="H219" i="27"/>
  <c r="J219" i="27" s="1"/>
  <c r="H218" i="27"/>
  <c r="J218" i="27" s="1"/>
  <c r="H209" i="27"/>
  <c r="J209" i="27" s="1"/>
  <c r="H207" i="27"/>
  <c r="P206" i="27"/>
  <c r="R206" i="27" s="1"/>
  <c r="H203" i="27"/>
  <c r="J203" i="27" s="1"/>
  <c r="H202" i="27"/>
  <c r="J202" i="27" s="1"/>
  <c r="H196" i="27"/>
  <c r="J196" i="27" s="1"/>
  <c r="H191" i="27"/>
  <c r="J191" i="27" s="1"/>
  <c r="H180" i="27"/>
  <c r="J180" i="27" s="1"/>
  <c r="H179" i="27"/>
  <c r="J179" i="27" s="1"/>
  <c r="H164" i="27"/>
  <c r="J164" i="27" s="1"/>
  <c r="H162" i="27"/>
  <c r="J162" i="27" s="1"/>
  <c r="H161" i="27"/>
  <c r="J161" i="27" s="1"/>
  <c r="H152" i="27"/>
  <c r="J152" i="27" s="1"/>
  <c r="H142" i="27"/>
  <c r="J142" i="27" s="1"/>
  <c r="H133" i="27"/>
  <c r="J133" i="27" s="1"/>
  <c r="H124" i="27"/>
  <c r="J124" i="27" s="1"/>
  <c r="H114" i="27"/>
  <c r="J114" i="27" s="1"/>
  <c r="H111" i="27"/>
  <c r="J111" i="27" s="1"/>
  <c r="H110" i="27"/>
  <c r="J110" i="27" s="1"/>
  <c r="H103" i="27"/>
  <c r="J103" i="27" s="1"/>
  <c r="H93" i="27"/>
  <c r="J93" i="27" s="1"/>
  <c r="H81" i="27"/>
  <c r="J81" i="27" s="1"/>
  <c r="H71" i="27"/>
  <c r="J71" i="27" s="1"/>
  <c r="H68" i="27"/>
  <c r="J68" i="27" s="1"/>
  <c r="H67" i="27"/>
  <c r="J67" i="27" s="1"/>
  <c r="H61" i="27"/>
  <c r="J61" i="27" s="1"/>
  <c r="H51" i="27"/>
  <c r="J51" i="27" s="1"/>
  <c r="H42" i="27"/>
  <c r="J42" i="27" s="1"/>
  <c r="H39" i="27"/>
  <c r="J39" i="27" s="1"/>
  <c r="H38" i="27"/>
  <c r="J38" i="27" s="1"/>
  <c r="H33" i="27"/>
  <c r="J33" i="27" s="1"/>
  <c r="H23" i="27"/>
  <c r="J23" i="27" s="1"/>
  <c r="H14" i="27"/>
  <c r="J14" i="27" s="1"/>
  <c r="H269" i="7"/>
  <c r="J269" i="7" s="1"/>
  <c r="H223" i="7"/>
  <c r="H217" i="7"/>
  <c r="J217" i="7" s="1"/>
  <c r="H215" i="7"/>
  <c r="J215" i="7" s="1"/>
  <c r="H167" i="7"/>
  <c r="J167" i="7" s="1"/>
  <c r="H166" i="7"/>
  <c r="H165" i="7"/>
  <c r="J165" i="7" s="1"/>
  <c r="H163" i="7"/>
  <c r="J163" i="7" s="1"/>
  <c r="L47" i="21"/>
  <c r="L63" i="26"/>
  <c r="H48" i="33"/>
  <c r="J48" i="33" s="1"/>
  <c r="P49" i="33"/>
  <c r="R49" i="33" s="1"/>
  <c r="J223" i="7" l="1"/>
  <c r="K3" i="15"/>
  <c r="K22" i="15" s="1"/>
  <c r="K44" i="15" s="1"/>
  <c r="E18" i="15"/>
  <c r="I322" i="7"/>
  <c r="J166" i="7"/>
  <c r="J437" i="27"/>
  <c r="P207" i="27"/>
  <c r="R207" i="27" s="1"/>
  <c r="J207" i="27"/>
  <c r="L58" i="26"/>
  <c r="L57" i="26"/>
  <c r="L31" i="26"/>
  <c r="L65" i="27"/>
  <c r="N65" i="27" s="1"/>
  <c r="L35" i="25"/>
  <c r="H8" i="22"/>
  <c r="H26" i="33"/>
  <c r="J26" i="33" s="1"/>
  <c r="H54" i="23"/>
  <c r="J54" i="23" s="1"/>
  <c r="P23" i="25"/>
  <c r="R23" i="25" s="1"/>
  <c r="H306" i="7"/>
  <c r="J306" i="7" s="1"/>
  <c r="P35" i="25" l="1"/>
  <c r="R35" i="25" s="1"/>
  <c r="N35" i="25"/>
  <c r="H8" i="31"/>
  <c r="H21" i="21"/>
  <c r="L87" i="27"/>
  <c r="N87" i="27" s="1"/>
  <c r="L27" i="27"/>
  <c r="N27" i="27" s="1"/>
  <c r="L72" i="26"/>
  <c r="L66" i="26"/>
  <c r="L67" i="26"/>
  <c r="L61" i="26"/>
  <c r="H789" i="27"/>
  <c r="J789" i="27" s="1"/>
  <c r="H788" i="27"/>
  <c r="J788" i="27" s="1"/>
  <c r="H787" i="27"/>
  <c r="J787" i="27" s="1"/>
  <c r="H785" i="27"/>
  <c r="J785" i="27" s="1"/>
  <c r="H765" i="27"/>
  <c r="J765" i="27" s="1"/>
  <c r="H764" i="27"/>
  <c r="J764" i="27" s="1"/>
  <c r="H11" i="27"/>
  <c r="J11" i="27" s="1"/>
  <c r="H10" i="27"/>
  <c r="J10" i="27" s="1"/>
  <c r="H7" i="31" l="1"/>
  <c r="J7" i="31" s="1"/>
  <c r="J8" i="31"/>
  <c r="H55" i="23"/>
  <c r="J55" i="23" s="1"/>
  <c r="P15" i="22"/>
  <c r="P17" i="27"/>
  <c r="R17" i="27" s="1"/>
  <c r="H15" i="20"/>
  <c r="H141" i="30"/>
  <c r="J141" i="30" s="1"/>
  <c r="H94" i="30"/>
  <c r="J94" i="30" s="1"/>
  <c r="H89" i="30"/>
  <c r="J89" i="30" s="1"/>
  <c r="H80" i="30"/>
  <c r="J80" i="30" s="1"/>
  <c r="H60" i="30"/>
  <c r="J60" i="30" s="1"/>
  <c r="H59" i="30"/>
  <c r="J59" i="30" s="1"/>
  <c r="H15" i="30"/>
  <c r="J15" i="30" s="1"/>
  <c r="H82" i="34"/>
  <c r="J82" i="34" s="1"/>
  <c r="H36" i="34"/>
  <c r="J36" i="34" s="1"/>
  <c r="H33" i="34"/>
  <c r="J33" i="34" s="1"/>
  <c r="H32" i="34"/>
  <c r="J32" i="34" s="1"/>
  <c r="H15" i="34"/>
  <c r="J15" i="34" s="1"/>
  <c r="H29" i="33"/>
  <c r="J29" i="33" s="1"/>
  <c r="H27" i="33"/>
  <c r="J27" i="33" s="1"/>
  <c r="H25" i="33"/>
  <c r="J25" i="33" s="1"/>
  <c r="H23" i="33"/>
  <c r="J23" i="33" s="1"/>
  <c r="H60" i="31"/>
  <c r="J60" i="31" s="1"/>
  <c r="H55" i="31"/>
  <c r="J55" i="31" s="1"/>
  <c r="H54" i="31"/>
  <c r="J54" i="31" s="1"/>
  <c r="H41" i="31"/>
  <c r="J41" i="31" s="1"/>
  <c r="H36" i="31"/>
  <c r="J36" i="31" s="1"/>
  <c r="H29" i="31"/>
  <c r="J29" i="31" s="1"/>
  <c r="H26" i="31"/>
  <c r="J26" i="31" s="1"/>
  <c r="H583" i="27"/>
  <c r="J583" i="27" s="1"/>
  <c r="H574" i="27"/>
  <c r="J574" i="27" s="1"/>
  <c r="H572" i="27"/>
  <c r="J572" i="27" s="1"/>
  <c r="H571" i="27"/>
  <c r="J571" i="27" s="1"/>
  <c r="H565" i="27"/>
  <c r="J565" i="27" s="1"/>
  <c r="H563" i="27"/>
  <c r="J563" i="27" s="1"/>
  <c r="H562" i="27"/>
  <c r="J562" i="27" s="1"/>
  <c r="H558" i="27"/>
  <c r="J558" i="27" s="1"/>
  <c r="H549" i="27"/>
  <c r="J549" i="27" s="1"/>
  <c r="H547" i="27"/>
  <c r="J547" i="27" s="1"/>
  <c r="H539" i="27"/>
  <c r="J539" i="27" s="1"/>
  <c r="H537" i="27"/>
  <c r="J537" i="27" s="1"/>
  <c r="H521" i="27"/>
  <c r="J521" i="27" s="1"/>
  <c r="H519" i="27"/>
  <c r="J519" i="27" s="1"/>
  <c r="H518" i="27"/>
  <c r="J518" i="27" s="1"/>
  <c r="H507" i="27"/>
  <c r="J507" i="27" s="1"/>
  <c r="H505" i="27"/>
  <c r="J505" i="27" s="1"/>
  <c r="H493" i="27"/>
  <c r="J493" i="27" s="1"/>
  <c r="H145" i="27"/>
  <c r="J145" i="27" s="1"/>
  <c r="H144" i="27"/>
  <c r="J144" i="27" s="1"/>
  <c r="P136" i="27"/>
  <c r="R136" i="27" s="1"/>
  <c r="H134" i="27"/>
  <c r="J134" i="27" s="1"/>
  <c r="H132" i="27"/>
  <c r="J132" i="27" s="1"/>
  <c r="H129" i="27"/>
  <c r="J129" i="27" s="1"/>
  <c r="P127" i="27"/>
  <c r="R127" i="27" s="1"/>
  <c r="H126" i="27"/>
  <c r="J126" i="27" s="1"/>
  <c r="H123" i="27"/>
  <c r="J123" i="27" s="1"/>
  <c r="H120" i="27"/>
  <c r="J120" i="27" s="1"/>
  <c r="P117" i="27"/>
  <c r="R117" i="27" s="1"/>
  <c r="H115" i="27"/>
  <c r="J115" i="27" s="1"/>
  <c r="H113" i="27"/>
  <c r="J113" i="27" s="1"/>
  <c r="H104" i="27"/>
  <c r="J104" i="27" s="1"/>
  <c r="H102" i="27"/>
  <c r="J102" i="27" s="1"/>
  <c r="H94" i="27"/>
  <c r="J94" i="27" s="1"/>
  <c r="H92" i="27"/>
  <c r="J92" i="27" s="1"/>
  <c r="H83" i="27"/>
  <c r="J83" i="27" s="1"/>
  <c r="H73" i="27"/>
  <c r="J73" i="27" s="1"/>
  <c r="H70" i="27"/>
  <c r="J70" i="27" s="1"/>
  <c r="H63" i="27"/>
  <c r="J63" i="27" s="1"/>
  <c r="P62" i="27"/>
  <c r="R62" i="27" s="1"/>
  <c r="H53" i="27"/>
  <c r="J53" i="27" s="1"/>
  <c r="H52" i="27"/>
  <c r="P36" i="27"/>
  <c r="R36" i="27" s="1"/>
  <c r="H35" i="27"/>
  <c r="J35" i="27" s="1"/>
  <c r="P34" i="27"/>
  <c r="R34" i="27" s="1"/>
  <c r="H29" i="27"/>
  <c r="J29" i="27" s="1"/>
  <c r="H25" i="27"/>
  <c r="J25" i="27" s="1"/>
  <c r="H24" i="27"/>
  <c r="J24" i="27" s="1"/>
  <c r="H16" i="27"/>
  <c r="J16" i="27" s="1"/>
  <c r="H15" i="27"/>
  <c r="J15" i="27" s="1"/>
  <c r="H18" i="26"/>
  <c r="H17" i="26"/>
  <c r="H31" i="25"/>
  <c r="J31" i="25" s="1"/>
  <c r="H28" i="25"/>
  <c r="J28" i="25" s="1"/>
  <c r="H26" i="25"/>
  <c r="J26" i="25" s="1"/>
  <c r="H25" i="25"/>
  <c r="J25" i="25" s="1"/>
  <c r="H21" i="25"/>
  <c r="J21" i="25" s="1"/>
  <c r="L6" i="25"/>
  <c r="N6" i="25" s="1"/>
  <c r="P18" i="25"/>
  <c r="R18" i="25" s="1"/>
  <c r="H17" i="25"/>
  <c r="J17" i="25" s="1"/>
  <c r="H15" i="25"/>
  <c r="J15" i="25" s="1"/>
  <c r="H8" i="25"/>
  <c r="J8" i="25" s="1"/>
  <c r="H7" i="25"/>
  <c r="J7" i="25" s="1"/>
  <c r="H28" i="24"/>
  <c r="J28" i="24" s="1"/>
  <c r="H27" i="24"/>
  <c r="J27" i="24" s="1"/>
  <c r="H44" i="23"/>
  <c r="J44" i="23" s="1"/>
  <c r="H37" i="23"/>
  <c r="J37" i="23" s="1"/>
  <c r="H36" i="23"/>
  <c r="J36" i="23" s="1"/>
  <c r="H13" i="22"/>
  <c r="H12" i="22" s="1"/>
  <c r="H14" i="20" l="1"/>
  <c r="J14" i="20" s="1"/>
  <c r="J15" i="20"/>
  <c r="J52" i="27"/>
  <c r="P52" i="27"/>
  <c r="R52" i="27" s="1"/>
  <c r="H273" i="7"/>
  <c r="J273" i="7" s="1"/>
  <c r="P790" i="27"/>
  <c r="R790" i="27" s="1"/>
  <c r="P791" i="27"/>
  <c r="R791" i="27" s="1"/>
  <c r="H783" i="27"/>
  <c r="J783" i="27" s="1"/>
  <c r="H782" i="27"/>
  <c r="J782" i="27" s="1"/>
  <c r="H69" i="24"/>
  <c r="J69" i="24" s="1"/>
  <c r="H70" i="24"/>
  <c r="J70" i="24" s="1"/>
  <c r="P20" i="33"/>
  <c r="R20" i="33" s="1"/>
  <c r="L54" i="26"/>
  <c r="L47" i="26"/>
  <c r="L46" i="26"/>
  <c r="P58" i="26"/>
  <c r="P60" i="26"/>
  <c r="P61" i="26"/>
  <c r="P62" i="26"/>
  <c r="L44" i="26"/>
  <c r="P32" i="30"/>
  <c r="R32" i="30" s="1"/>
  <c r="P68" i="26"/>
  <c r="L69" i="26"/>
  <c r="P55" i="26"/>
  <c r="L64" i="26"/>
  <c r="L28" i="26"/>
  <c r="H779" i="27" l="1"/>
  <c r="J779" i="27" s="1"/>
  <c r="H778" i="27"/>
  <c r="J778" i="27" s="1"/>
  <c r="H777" i="27"/>
  <c r="J777" i="27" s="1"/>
  <c r="P38" i="34" l="1"/>
  <c r="R38" i="34" s="1"/>
  <c r="P17" i="31" l="1"/>
  <c r="R17" i="31" s="1"/>
  <c r="H40" i="31"/>
  <c r="J40" i="31" s="1"/>
  <c r="H38" i="31"/>
  <c r="J38" i="31" s="1"/>
  <c r="H37" i="31"/>
  <c r="J37" i="31" s="1"/>
  <c r="H18" i="34"/>
  <c r="J18" i="34" s="1"/>
  <c r="H29" i="21"/>
  <c r="H37" i="21"/>
  <c r="H455" i="27"/>
  <c r="J455" i="27" s="1"/>
  <c r="L36" i="33" l="1"/>
  <c r="N36" i="33" s="1"/>
  <c r="P50" i="33"/>
  <c r="R50" i="33" s="1"/>
  <c r="H774" i="27"/>
  <c r="J774" i="27" s="1"/>
  <c r="H724" i="27"/>
  <c r="J724" i="27" s="1"/>
  <c r="H722" i="27"/>
  <c r="J722" i="27" s="1"/>
  <c r="H720" i="27"/>
  <c r="J720" i="27" s="1"/>
  <c r="H719" i="27"/>
  <c r="J719" i="27" s="1"/>
  <c r="H643" i="27"/>
  <c r="J643" i="27" s="1"/>
  <c r="H642" i="27"/>
  <c r="J642" i="27" s="1"/>
  <c r="L578" i="27"/>
  <c r="N578" i="27" s="1"/>
  <c r="L532" i="27"/>
  <c r="N532" i="27" s="1"/>
  <c r="H420" i="27"/>
  <c r="J420" i="27" s="1"/>
  <c r="H419" i="27"/>
  <c r="J419" i="27" s="1"/>
  <c r="H418" i="27"/>
  <c r="J418" i="27" s="1"/>
  <c r="H415" i="27"/>
  <c r="J415" i="27" s="1"/>
  <c r="H414" i="27"/>
  <c r="J414" i="27" s="1"/>
  <c r="P387" i="27"/>
  <c r="R387" i="27" s="1"/>
  <c r="H167" i="27"/>
  <c r="J167" i="27" s="1"/>
  <c r="H43" i="27"/>
  <c r="J43" i="27" s="1"/>
  <c r="H28" i="23"/>
  <c r="J28" i="23" s="1"/>
  <c r="L26" i="26" l="1"/>
  <c r="L64" i="23"/>
  <c r="N64" i="23" s="1"/>
  <c r="L38" i="25"/>
  <c r="N38" i="25" s="1"/>
  <c r="L738" i="27"/>
  <c r="N738" i="27" s="1"/>
  <c r="L752" i="27"/>
  <c r="N752" i="27" s="1"/>
  <c r="L727" i="27"/>
  <c r="N727" i="27" s="1"/>
  <c r="L717" i="27"/>
  <c r="N717" i="27" s="1"/>
  <c r="L660" i="27"/>
  <c r="N660" i="27" s="1"/>
  <c r="L611" i="27"/>
  <c r="N611" i="27" s="1"/>
  <c r="L594" i="27"/>
  <c r="N594" i="27" s="1"/>
  <c r="L586" i="27"/>
  <c r="N586" i="27" s="1"/>
  <c r="L569" i="27"/>
  <c r="N569" i="27" s="1"/>
  <c r="L560" i="27"/>
  <c r="N560" i="27" s="1"/>
  <c r="L551" i="27"/>
  <c r="N551" i="27" s="1"/>
  <c r="L541" i="27"/>
  <c r="N541" i="27" s="1"/>
  <c r="L508" i="27"/>
  <c r="N508" i="27" s="1"/>
  <c r="L500" i="27"/>
  <c r="N500" i="27" s="1"/>
  <c r="L56" i="27"/>
  <c r="N56" i="27" s="1"/>
  <c r="P65" i="27"/>
  <c r="R65" i="27" s="1"/>
  <c r="P108" i="27"/>
  <c r="R108" i="27" s="1"/>
  <c r="L31" i="31" l="1"/>
  <c r="N31" i="31" s="1"/>
  <c r="H55" i="34" l="1"/>
  <c r="J55" i="34" s="1"/>
  <c r="H12" i="26"/>
  <c r="H13" i="26"/>
  <c r="H52" i="23"/>
  <c r="J52" i="23" s="1"/>
  <c r="H79" i="30" l="1"/>
  <c r="J79" i="30" s="1"/>
  <c r="H78" i="30"/>
  <c r="J78" i="30" s="1"/>
  <c r="L70" i="23"/>
  <c r="N70" i="23" s="1"/>
  <c r="L263" i="27"/>
  <c r="N263" i="27" s="1"/>
  <c r="H16" i="25"/>
  <c r="J16" i="25" s="1"/>
  <c r="H10" i="25"/>
  <c r="J10" i="25" s="1"/>
  <c r="H12" i="20"/>
  <c r="J12" i="20" s="1"/>
  <c r="H11" i="20"/>
  <c r="J11" i="20" s="1"/>
  <c r="H121" i="30" l="1"/>
  <c r="J121" i="30" s="1"/>
  <c r="H30" i="34"/>
  <c r="J30" i="34" s="1"/>
  <c r="H19" i="34"/>
  <c r="J19" i="34" s="1"/>
  <c r="H83" i="34"/>
  <c r="J83" i="34" s="1"/>
  <c r="H70" i="34"/>
  <c r="J70" i="34" s="1"/>
  <c r="P61" i="34"/>
  <c r="R61" i="34" s="1"/>
  <c r="H48" i="34"/>
  <c r="J48" i="34" s="1"/>
  <c r="H47" i="34"/>
  <c r="J47" i="34" s="1"/>
  <c r="H34" i="34"/>
  <c r="J34" i="34" s="1"/>
  <c r="P680" i="27"/>
  <c r="R680" i="27" s="1"/>
  <c r="H773" i="27"/>
  <c r="J773" i="27" s="1"/>
  <c r="H745" i="27"/>
  <c r="J745" i="27" s="1"/>
  <c r="H736" i="27"/>
  <c r="J736" i="27" s="1"/>
  <c r="H735" i="27"/>
  <c r="J735" i="27" s="1"/>
  <c r="H723" i="27"/>
  <c r="J723" i="27" s="1"/>
  <c r="H707" i="27"/>
  <c r="J707" i="27" s="1"/>
  <c r="H705" i="27"/>
  <c r="J705" i="27" s="1"/>
  <c r="H704" i="27"/>
  <c r="J704" i="27" s="1"/>
  <c r="H702" i="27"/>
  <c r="J702" i="27" s="1"/>
  <c r="H701" i="27"/>
  <c r="J701" i="27" s="1"/>
  <c r="H698" i="27"/>
  <c r="J698" i="27" s="1"/>
  <c r="H696" i="27"/>
  <c r="J696" i="27" s="1"/>
  <c r="H695" i="27"/>
  <c r="J695" i="27" s="1"/>
  <c r="H693" i="27"/>
  <c r="J693" i="27" s="1"/>
  <c r="H692" i="27"/>
  <c r="J692" i="27" s="1"/>
  <c r="P689" i="27"/>
  <c r="R689" i="27" s="1"/>
  <c r="H605" i="27"/>
  <c r="J605" i="27" s="1"/>
  <c r="H604" i="27"/>
  <c r="J604" i="27" s="1"/>
  <c r="H597" i="27"/>
  <c r="J597" i="27" s="1"/>
  <c r="H596" i="27"/>
  <c r="J596" i="27" s="1"/>
  <c r="H589" i="27"/>
  <c r="J589" i="27" s="1"/>
  <c r="H588" i="27"/>
  <c r="J588" i="27" s="1"/>
  <c r="H581" i="27"/>
  <c r="J581" i="27" s="1"/>
  <c r="H580" i="27"/>
  <c r="J580" i="27" s="1"/>
  <c r="H554" i="27"/>
  <c r="J554" i="27" s="1"/>
  <c r="H553" i="27"/>
  <c r="J553" i="27" s="1"/>
  <c r="H544" i="27"/>
  <c r="J544" i="27" s="1"/>
  <c r="H543" i="27"/>
  <c r="J543" i="27" s="1"/>
  <c r="H535" i="27"/>
  <c r="J535" i="27" s="1"/>
  <c r="H534" i="27"/>
  <c r="J534" i="27" s="1"/>
  <c r="H526" i="27"/>
  <c r="J526" i="27" s="1"/>
  <c r="H525" i="27"/>
  <c r="J525" i="27" s="1"/>
  <c r="H511" i="27"/>
  <c r="J511" i="27" s="1"/>
  <c r="H510" i="27"/>
  <c r="J510" i="27" s="1"/>
  <c r="H503" i="27"/>
  <c r="J503" i="27" s="1"/>
  <c r="H502" i="27"/>
  <c r="J502" i="27" s="1"/>
  <c r="H494" i="27"/>
  <c r="J494" i="27" s="1"/>
  <c r="H449" i="27"/>
  <c r="J449" i="27" s="1"/>
  <c r="H447" i="27"/>
  <c r="J447" i="27" s="1"/>
  <c r="H444" i="27"/>
  <c r="J444" i="27" s="1"/>
  <c r="H433" i="27"/>
  <c r="J433" i="27" s="1"/>
  <c r="H392" i="27"/>
  <c r="J392" i="27" s="1"/>
  <c r="H391" i="27"/>
  <c r="J391" i="27" s="1"/>
  <c r="H149" i="27"/>
  <c r="J149" i="27" s="1"/>
  <c r="H148" i="27"/>
  <c r="J148" i="27" s="1"/>
  <c r="H139" i="27"/>
  <c r="J139" i="27" s="1"/>
  <c r="H138" i="27"/>
  <c r="J138" i="27" s="1"/>
  <c r="H130" i="27"/>
  <c r="J130" i="27" s="1"/>
  <c r="H121" i="27"/>
  <c r="J121" i="27" s="1"/>
  <c r="H100" i="27"/>
  <c r="J100" i="27" s="1"/>
  <c r="H99" i="27"/>
  <c r="J99" i="27" s="1"/>
  <c r="H90" i="27"/>
  <c r="J90" i="27" s="1"/>
  <c r="H89" i="27"/>
  <c r="J89" i="27" s="1"/>
  <c r="H78" i="27"/>
  <c r="J78" i="27" s="1"/>
  <c r="H77" i="27"/>
  <c r="J77" i="27" s="1"/>
  <c r="H58" i="27"/>
  <c r="J58" i="27" s="1"/>
  <c r="H57" i="27"/>
  <c r="J57" i="27" s="1"/>
  <c r="H48" i="27"/>
  <c r="J48" i="27" s="1"/>
  <c r="H47" i="27"/>
  <c r="J47" i="27" s="1"/>
  <c r="H30" i="27"/>
  <c r="J30" i="27" s="1"/>
  <c r="H20" i="27"/>
  <c r="J20" i="27" s="1"/>
  <c r="H19" i="27"/>
  <c r="J19" i="27" s="1"/>
  <c r="H23" i="26"/>
  <c r="H12" i="25"/>
  <c r="J12" i="25" s="1"/>
  <c r="H48" i="24" l="1"/>
  <c r="J48" i="24" s="1"/>
  <c r="H46" i="24"/>
  <c r="J46" i="24" s="1"/>
  <c r="H37" i="24"/>
  <c r="J37" i="24" s="1"/>
  <c r="H29" i="24"/>
  <c r="J29" i="24" s="1"/>
  <c r="H67" i="23" l="1"/>
  <c r="J67" i="23" s="1"/>
  <c r="H20" i="23"/>
  <c r="J20" i="23" s="1"/>
  <c r="H8" i="21"/>
  <c r="H39" i="21"/>
  <c r="H36" i="21"/>
  <c r="H26" i="21"/>
  <c r="H11" i="21"/>
  <c r="H301" i="7"/>
  <c r="J301" i="7" s="1"/>
  <c r="H271" i="7"/>
  <c r="J271" i="7" s="1"/>
  <c r="H216" i="7"/>
  <c r="J216" i="7" s="1"/>
  <c r="H81" i="7"/>
  <c r="J81" i="7" s="1"/>
  <c r="H79" i="7"/>
  <c r="J79" i="7" s="1"/>
  <c r="H78" i="7"/>
  <c r="H75" i="7"/>
  <c r="J75" i="7" s="1"/>
  <c r="H56" i="7"/>
  <c r="J56" i="7" s="1"/>
  <c r="H55" i="7"/>
  <c r="J55" i="7" s="1"/>
  <c r="H54" i="7"/>
  <c r="J54" i="7" s="1"/>
  <c r="H31" i="7"/>
  <c r="J31" i="7" s="1"/>
  <c r="P34" i="25" l="1"/>
  <c r="R34" i="25" s="1"/>
  <c r="L46" i="21"/>
  <c r="H9" i="26"/>
  <c r="L40" i="26"/>
  <c r="L71" i="26"/>
  <c r="H423" i="27"/>
  <c r="J423" i="27" s="1"/>
  <c r="H422" i="27"/>
  <c r="J422" i="27" s="1"/>
  <c r="P60" i="34"/>
  <c r="R60" i="34" s="1"/>
  <c r="P263" i="27"/>
  <c r="R263" i="27" s="1"/>
  <c r="L18" i="27"/>
  <c r="N18" i="27" s="1"/>
  <c r="P27" i="27"/>
  <c r="R27" i="27" s="1"/>
  <c r="H122" i="30"/>
  <c r="J122" i="30" s="1"/>
  <c r="H276" i="7"/>
  <c r="J276" i="7" s="1"/>
  <c r="L118" i="27" l="1"/>
  <c r="N118" i="27" s="1"/>
  <c r="P103" i="30"/>
  <c r="R103" i="30" s="1"/>
  <c r="P56" i="30"/>
  <c r="R56" i="30" s="1"/>
  <c r="H54" i="30"/>
  <c r="J54" i="30" s="1"/>
  <c r="H33" i="33"/>
  <c r="J33" i="33" s="1"/>
  <c r="H35" i="33"/>
  <c r="J35" i="33" s="1"/>
  <c r="H24" i="33"/>
  <c r="J24" i="33" s="1"/>
  <c r="P59" i="34" l="1"/>
  <c r="R59" i="34" s="1"/>
  <c r="L65" i="31"/>
  <c r="N65" i="31" s="1"/>
  <c r="P76" i="31"/>
  <c r="R76" i="31" s="1"/>
  <c r="H15" i="26" l="1"/>
  <c r="H8" i="26"/>
  <c r="L44" i="34"/>
  <c r="N44" i="34" s="1"/>
  <c r="P45" i="31"/>
  <c r="R45" i="31" s="1"/>
  <c r="P87" i="27"/>
  <c r="R87" i="27" s="1"/>
  <c r="P74" i="26"/>
  <c r="L48" i="26"/>
  <c r="L33" i="26"/>
  <c r="P26" i="26"/>
  <c r="L33" i="25"/>
  <c r="L32" i="23"/>
  <c r="N32" i="23" s="1"/>
  <c r="P30" i="23"/>
  <c r="R30" i="23" s="1"/>
  <c r="P31" i="23"/>
  <c r="R31" i="23" s="1"/>
  <c r="L29" i="23"/>
  <c r="N29" i="23" s="1"/>
  <c r="L19" i="25" l="1"/>
  <c r="N19" i="25" s="1"/>
  <c r="N33" i="25"/>
  <c r="L59" i="26" l="1"/>
  <c r="L45" i="26"/>
  <c r="L51" i="26"/>
  <c r="L56" i="26"/>
  <c r="L52" i="26"/>
  <c r="P16" i="31"/>
  <c r="R16" i="31" s="1"/>
  <c r="P45" i="21"/>
  <c r="P59" i="26" l="1"/>
  <c r="P15" i="26"/>
  <c r="L579" i="27" l="1"/>
  <c r="N579" i="27" s="1"/>
  <c r="L533" i="27"/>
  <c r="N533" i="27" s="1"/>
  <c r="P208" i="27"/>
  <c r="R208" i="27" s="1"/>
  <c r="P72" i="27"/>
  <c r="R72" i="27" s="1"/>
  <c r="L58" i="24" l="1"/>
  <c r="N58" i="24" s="1"/>
  <c r="L60" i="24"/>
  <c r="N60" i="24" s="1"/>
  <c r="P65" i="26"/>
  <c r="P35" i="33"/>
  <c r="R35" i="33" s="1"/>
  <c r="H51" i="23"/>
  <c r="J51" i="23" s="1"/>
  <c r="L23" i="31" l="1"/>
  <c r="N23" i="31" s="1"/>
  <c r="P29" i="31"/>
  <c r="R29" i="31" s="1"/>
  <c r="H28" i="31"/>
  <c r="J28" i="31" s="1"/>
  <c r="P32" i="26"/>
  <c r="L262" i="27"/>
  <c r="N262" i="27" s="1"/>
  <c r="L49" i="31"/>
  <c r="N49" i="31" s="1"/>
  <c r="P58" i="31"/>
  <c r="R58" i="31" s="1"/>
  <c r="P15" i="31"/>
  <c r="R15" i="31" s="1"/>
  <c r="L501" i="27"/>
  <c r="N501" i="27" s="1"/>
  <c r="L524" i="27"/>
  <c r="N524" i="27" s="1"/>
  <c r="L542" i="27"/>
  <c r="N542" i="27" s="1"/>
  <c r="L710" i="27"/>
  <c r="N710" i="27" s="1"/>
  <c r="P48" i="34"/>
  <c r="R48" i="34" s="1"/>
  <c r="P74" i="30"/>
  <c r="R74" i="30" s="1"/>
  <c r="L250" i="27" l="1"/>
  <c r="N250" i="27" s="1"/>
  <c r="H784" i="27"/>
  <c r="P86" i="27"/>
  <c r="R86" i="27" s="1"/>
  <c r="H49" i="27"/>
  <c r="J49" i="27" s="1"/>
  <c r="P54" i="27"/>
  <c r="R54" i="27" s="1"/>
  <c r="P72" i="26"/>
  <c r="P61" i="24"/>
  <c r="R61" i="24" s="1"/>
  <c r="P40" i="34"/>
  <c r="R40" i="34" s="1"/>
  <c r="P41" i="34"/>
  <c r="R41" i="34" s="1"/>
  <c r="P71" i="26"/>
  <c r="P70" i="26"/>
  <c r="P69" i="26"/>
  <c r="H781" i="27" l="1"/>
  <c r="J781" i="27" s="1"/>
  <c r="J784" i="27"/>
  <c r="P77" i="31"/>
  <c r="R77" i="31" s="1"/>
  <c r="H11" i="33"/>
  <c r="P97" i="27"/>
  <c r="R97" i="27" s="1"/>
  <c r="L88" i="27"/>
  <c r="N88" i="27" s="1"/>
  <c r="J27" i="15"/>
  <c r="L27" i="15" s="1"/>
  <c r="J26" i="15"/>
  <c r="L26" i="15" s="1"/>
  <c r="H118" i="30"/>
  <c r="J118" i="30" s="1"/>
  <c r="P123" i="30"/>
  <c r="R123" i="30" s="1"/>
  <c r="P102" i="30"/>
  <c r="R102" i="30" s="1"/>
  <c r="L61" i="31"/>
  <c r="N61" i="31" s="1"/>
  <c r="P30" i="31"/>
  <c r="R30" i="31" s="1"/>
  <c r="P727" i="27"/>
  <c r="R727" i="27" s="1"/>
  <c r="L718" i="27"/>
  <c r="N718" i="27" s="1"/>
  <c r="H531" i="27"/>
  <c r="J531" i="27" s="1"/>
  <c r="P360" i="27"/>
  <c r="R360" i="27" s="1"/>
  <c r="P336" i="27"/>
  <c r="R336" i="27" s="1"/>
  <c r="P314" i="27"/>
  <c r="R314" i="27" s="1"/>
  <c r="L300" i="27"/>
  <c r="P309" i="27"/>
  <c r="R309" i="27" s="1"/>
  <c r="P259" i="27"/>
  <c r="R259" i="27" s="1"/>
  <c r="P233" i="27"/>
  <c r="R233" i="27" s="1"/>
  <c r="P183" i="27"/>
  <c r="R183" i="27" s="1"/>
  <c r="P67" i="26"/>
  <c r="P66" i="26"/>
  <c r="P64" i="26"/>
  <c r="P63" i="26"/>
  <c r="P57" i="26"/>
  <c r="P56" i="26"/>
  <c r="P54" i="26"/>
  <c r="P53" i="26"/>
  <c r="P52" i="26"/>
  <c r="P51" i="26"/>
  <c r="P50" i="26"/>
  <c r="P49" i="26"/>
  <c r="P48" i="26"/>
  <c r="P47" i="26"/>
  <c r="P46" i="26"/>
  <c r="P73" i="26"/>
  <c r="P45" i="26"/>
  <c r="P44" i="26"/>
  <c r="P43" i="26"/>
  <c r="H10" i="26"/>
  <c r="L62" i="24"/>
  <c r="N62" i="24" s="1"/>
  <c r="P71" i="24"/>
  <c r="R71" i="24" s="1"/>
  <c r="H51" i="24"/>
  <c r="J51" i="24" s="1"/>
  <c r="P60" i="24"/>
  <c r="R60" i="24" s="1"/>
  <c r="P59" i="24"/>
  <c r="R59" i="24" s="1"/>
  <c r="H9" i="33" l="1"/>
  <c r="J9" i="33" s="1"/>
  <c r="J11" i="33"/>
  <c r="L289" i="27"/>
  <c r="N289" i="27" s="1"/>
  <c r="N300" i="27"/>
  <c r="J25" i="15"/>
  <c r="L47" i="31"/>
  <c r="N47" i="31" s="1"/>
  <c r="P32" i="21"/>
  <c r="H302" i="7"/>
  <c r="J302" i="7" s="1"/>
  <c r="H300" i="7"/>
  <c r="L38" i="26"/>
  <c r="P37" i="26"/>
  <c r="L25" i="15" l="1"/>
  <c r="H299" i="7"/>
  <c r="J299" i="7" s="1"/>
  <c r="J300" i="7"/>
  <c r="L749" i="27"/>
  <c r="L729" i="27"/>
  <c r="P143" i="27"/>
  <c r="R143" i="27" s="1"/>
  <c r="H298" i="7" l="1"/>
  <c r="L728" i="27"/>
  <c r="N728" i="27" s="1"/>
  <c r="N729" i="27"/>
  <c r="L748" i="27"/>
  <c r="N748" i="27" s="1"/>
  <c r="N749" i="27"/>
  <c r="L238" i="27"/>
  <c r="N238" i="27" s="1"/>
  <c r="P262" i="27"/>
  <c r="R262" i="27" s="1"/>
  <c r="L35" i="26"/>
  <c r="L85" i="27"/>
  <c r="L41" i="26"/>
  <c r="P41" i="26" s="1"/>
  <c r="H26" i="34"/>
  <c r="J26" i="34" s="1"/>
  <c r="H27" i="34"/>
  <c r="H45" i="34"/>
  <c r="H29" i="34"/>
  <c r="J29" i="34" s="1"/>
  <c r="P41" i="33"/>
  <c r="R41" i="33" s="1"/>
  <c r="H40" i="33"/>
  <c r="P13" i="33"/>
  <c r="R13" i="33" s="1"/>
  <c r="P14" i="33"/>
  <c r="R14" i="33" s="1"/>
  <c r="P15" i="33"/>
  <c r="R15" i="33" s="1"/>
  <c r="P16" i="33"/>
  <c r="R16" i="33" s="1"/>
  <c r="P17" i="33"/>
  <c r="R17" i="33" s="1"/>
  <c r="P18" i="33"/>
  <c r="R18" i="33" s="1"/>
  <c r="P19" i="33"/>
  <c r="R19" i="33" s="1"/>
  <c r="H7" i="33"/>
  <c r="J7" i="33" s="1"/>
  <c r="P26" i="31"/>
  <c r="R26" i="31" s="1"/>
  <c r="H25" i="31"/>
  <c r="H303" i="27"/>
  <c r="H253" i="27"/>
  <c r="H226" i="27"/>
  <c r="J226" i="27" s="1"/>
  <c r="H205" i="27"/>
  <c r="H194" i="27"/>
  <c r="J194" i="27" s="1"/>
  <c r="H178" i="27"/>
  <c r="J178" i="27" s="1"/>
  <c r="P39" i="26"/>
  <c r="P40" i="26"/>
  <c r="P42" i="26"/>
  <c r="P38" i="26"/>
  <c r="H37" i="33" l="1"/>
  <c r="J40" i="33"/>
  <c r="H23" i="31"/>
  <c r="J23" i="31" s="1"/>
  <c r="J25" i="31"/>
  <c r="H296" i="7"/>
  <c r="J298" i="7"/>
  <c r="J27" i="34"/>
  <c r="H44" i="34"/>
  <c r="J44" i="34" s="1"/>
  <c r="J45" i="34"/>
  <c r="H300" i="27"/>
  <c r="J300" i="27" s="1"/>
  <c r="J303" i="27"/>
  <c r="H200" i="27"/>
  <c r="J200" i="27" s="1"/>
  <c r="J205" i="27"/>
  <c r="H250" i="27"/>
  <c r="J250" i="27" s="1"/>
  <c r="J253" i="27"/>
  <c r="L76" i="27"/>
  <c r="N76" i="27" s="1"/>
  <c r="N85" i="27"/>
  <c r="H354" i="27"/>
  <c r="H329" i="27"/>
  <c r="J329" i="27" s="1"/>
  <c r="L237" i="27"/>
  <c r="H175" i="27"/>
  <c r="J175" i="27" s="1"/>
  <c r="P85" i="27"/>
  <c r="R85" i="27" s="1"/>
  <c r="P58" i="24"/>
  <c r="R58" i="24" s="1"/>
  <c r="H260" i="7"/>
  <c r="J260" i="7" s="1"/>
  <c r="H214" i="7"/>
  <c r="J214" i="7" s="1"/>
  <c r="H36" i="33" l="1"/>
  <c r="J36" i="33" s="1"/>
  <c r="J37" i="33"/>
  <c r="J296" i="7"/>
  <c r="H311" i="7"/>
  <c r="J311" i="7" s="1"/>
  <c r="L173" i="27"/>
  <c r="N173" i="27" s="1"/>
  <c r="N237" i="27"/>
  <c r="H351" i="27"/>
  <c r="J351" i="27" s="1"/>
  <c r="J354" i="27"/>
  <c r="H22" i="25"/>
  <c r="L34" i="26"/>
  <c r="L107" i="27"/>
  <c r="N107" i="27" s="1"/>
  <c r="P42" i="25"/>
  <c r="R42" i="25" s="1"/>
  <c r="P43" i="25"/>
  <c r="R43" i="25" s="1"/>
  <c r="P44" i="25"/>
  <c r="R44" i="25" s="1"/>
  <c r="P45" i="25"/>
  <c r="R45" i="25" s="1"/>
  <c r="P46" i="25"/>
  <c r="R46" i="25" s="1"/>
  <c r="P14" i="31"/>
  <c r="R14" i="31" s="1"/>
  <c r="P13" i="31"/>
  <c r="R13" i="31" s="1"/>
  <c r="J38" i="15"/>
  <c r="L38" i="15" s="1"/>
  <c r="H20" i="25" l="1"/>
  <c r="J20" i="25" s="1"/>
  <c r="J22" i="25"/>
  <c r="L98" i="27"/>
  <c r="N98" i="27" s="1"/>
  <c r="J37" i="15"/>
  <c r="L37" i="15" s="1"/>
  <c r="P54" i="30"/>
  <c r="R54" i="30" s="1"/>
  <c r="P55" i="30"/>
  <c r="R55" i="30" s="1"/>
  <c r="P58" i="30"/>
  <c r="R58" i="30" s="1"/>
  <c r="P717" i="27"/>
  <c r="R717" i="27" s="1"/>
  <c r="L709" i="27"/>
  <c r="N709" i="27" s="1"/>
  <c r="P611" i="27"/>
  <c r="R611" i="27" s="1"/>
  <c r="L603" i="27"/>
  <c r="N603" i="27" s="1"/>
  <c r="P586" i="27"/>
  <c r="R586" i="27" s="1"/>
  <c r="P551" i="27"/>
  <c r="R551" i="27" s="1"/>
  <c r="P541" i="27"/>
  <c r="R541" i="27" s="1"/>
  <c r="P532" i="27"/>
  <c r="R532" i="27" s="1"/>
  <c r="P508" i="27"/>
  <c r="R508" i="27" s="1"/>
  <c r="P500" i="27"/>
  <c r="R500" i="27" s="1"/>
  <c r="L492" i="27"/>
  <c r="N492" i="27" s="1"/>
  <c r="L51" i="24"/>
  <c r="N51" i="24" s="1"/>
  <c r="H13" i="24" l="1"/>
  <c r="J13" i="24" s="1"/>
  <c r="H57" i="7"/>
  <c r="J57" i="7" s="1"/>
  <c r="H53" i="7" l="1"/>
  <c r="J53" i="7" s="1"/>
  <c r="P44" i="21"/>
  <c r="P31" i="21"/>
  <c r="H25" i="21"/>
  <c r="P34" i="34"/>
  <c r="R34" i="34" s="1"/>
  <c r="P34" i="26"/>
  <c r="P143" i="30"/>
  <c r="R143" i="30" s="1"/>
  <c r="P142" i="30"/>
  <c r="R142" i="30" s="1"/>
  <c r="P141" i="30"/>
  <c r="R141" i="30" s="1"/>
  <c r="P140" i="30"/>
  <c r="R140" i="30" s="1"/>
  <c r="P139" i="30"/>
  <c r="R139" i="30" s="1"/>
  <c r="P138" i="30"/>
  <c r="R138" i="30" s="1"/>
  <c r="H137" i="30"/>
  <c r="P136" i="30"/>
  <c r="R136" i="30" s="1"/>
  <c r="P135" i="30"/>
  <c r="R135" i="30" s="1"/>
  <c r="P132" i="30"/>
  <c r="R132" i="30" s="1"/>
  <c r="P131" i="30"/>
  <c r="R131" i="30" s="1"/>
  <c r="P130" i="30"/>
  <c r="R130" i="30" s="1"/>
  <c r="P129" i="30"/>
  <c r="R129" i="30" s="1"/>
  <c r="H128" i="30"/>
  <c r="P127" i="30"/>
  <c r="R127" i="30" s="1"/>
  <c r="P126" i="30"/>
  <c r="R126" i="30" s="1"/>
  <c r="P122" i="30"/>
  <c r="R122" i="30" s="1"/>
  <c r="P121" i="30"/>
  <c r="R121" i="30" s="1"/>
  <c r="P120" i="30"/>
  <c r="R120" i="30" s="1"/>
  <c r="P119" i="30"/>
  <c r="R119" i="30" s="1"/>
  <c r="P118" i="30"/>
  <c r="R118" i="30" s="1"/>
  <c r="P117" i="30"/>
  <c r="R117" i="30" s="1"/>
  <c r="H116" i="30"/>
  <c r="J116" i="30" s="1"/>
  <c r="P114" i="30"/>
  <c r="R114" i="30" s="1"/>
  <c r="P113" i="30"/>
  <c r="R113" i="30" s="1"/>
  <c r="P112" i="30"/>
  <c r="R112" i="30" s="1"/>
  <c r="P111" i="30"/>
  <c r="R111" i="30" s="1"/>
  <c r="P110" i="30"/>
  <c r="R110" i="30" s="1"/>
  <c r="H109" i="30"/>
  <c r="P108" i="30"/>
  <c r="R108" i="30" s="1"/>
  <c r="P107" i="30"/>
  <c r="R107" i="30" s="1"/>
  <c r="P100" i="30"/>
  <c r="R100" i="30" s="1"/>
  <c r="P99" i="30"/>
  <c r="R99" i="30" s="1"/>
  <c r="P97" i="30"/>
  <c r="R97" i="30" s="1"/>
  <c r="P96" i="30"/>
  <c r="R96" i="30" s="1"/>
  <c r="P95" i="30"/>
  <c r="R95" i="30" s="1"/>
  <c r="P94" i="30"/>
  <c r="R94" i="30" s="1"/>
  <c r="P93" i="30"/>
  <c r="R93" i="30" s="1"/>
  <c r="P92" i="30"/>
  <c r="R92" i="30" s="1"/>
  <c r="P91" i="30"/>
  <c r="R91" i="30" s="1"/>
  <c r="H90" i="30"/>
  <c r="P89" i="30"/>
  <c r="R89" i="30" s="1"/>
  <c r="P88" i="30"/>
  <c r="R88" i="30" s="1"/>
  <c r="L86" i="30"/>
  <c r="P85" i="30"/>
  <c r="R85" i="30" s="1"/>
  <c r="P84" i="30"/>
  <c r="R84" i="30" s="1"/>
  <c r="P83" i="30"/>
  <c r="R83" i="30" s="1"/>
  <c r="P82" i="30"/>
  <c r="R82" i="30" s="1"/>
  <c r="P80" i="30"/>
  <c r="R80" i="30" s="1"/>
  <c r="P79" i="30"/>
  <c r="R79" i="30" s="1"/>
  <c r="P78" i="30"/>
  <c r="R78" i="30" s="1"/>
  <c r="P77" i="30"/>
  <c r="R77" i="30" s="1"/>
  <c r="H76" i="30"/>
  <c r="J76" i="30" s="1"/>
  <c r="P72" i="30"/>
  <c r="R72" i="30" s="1"/>
  <c r="P71" i="30"/>
  <c r="R71" i="30" s="1"/>
  <c r="P70" i="30"/>
  <c r="R70" i="30" s="1"/>
  <c r="P69" i="30"/>
  <c r="R69" i="30" s="1"/>
  <c r="P68" i="30"/>
  <c r="R68" i="30" s="1"/>
  <c r="P67" i="30"/>
  <c r="R67" i="30" s="1"/>
  <c r="P66" i="30"/>
  <c r="R66" i="30" s="1"/>
  <c r="H65" i="30"/>
  <c r="P64" i="30"/>
  <c r="R64" i="30" s="1"/>
  <c r="P63" i="30"/>
  <c r="R63" i="30" s="1"/>
  <c r="P60" i="30"/>
  <c r="R60" i="30" s="1"/>
  <c r="P59" i="30"/>
  <c r="R59" i="30" s="1"/>
  <c r="P52" i="30"/>
  <c r="R52" i="30" s="1"/>
  <c r="P51" i="30"/>
  <c r="R51" i="30" s="1"/>
  <c r="P50" i="30"/>
  <c r="R50" i="30" s="1"/>
  <c r="P49" i="30"/>
  <c r="R49" i="30" s="1"/>
  <c r="P48" i="30"/>
  <c r="R48" i="30" s="1"/>
  <c r="P47" i="30"/>
  <c r="R47" i="30" s="1"/>
  <c r="P46" i="30"/>
  <c r="R46" i="30" s="1"/>
  <c r="P45" i="30"/>
  <c r="R45" i="30" s="1"/>
  <c r="H44" i="30"/>
  <c r="P41" i="30"/>
  <c r="R41" i="30" s="1"/>
  <c r="P40" i="30"/>
  <c r="R40" i="30" s="1"/>
  <c r="P39" i="30"/>
  <c r="R39" i="30" s="1"/>
  <c r="P38" i="30"/>
  <c r="R38" i="30" s="1"/>
  <c r="H37" i="30"/>
  <c r="P36" i="30"/>
  <c r="R36" i="30" s="1"/>
  <c r="P35" i="30"/>
  <c r="R35" i="30" s="1"/>
  <c r="P31" i="30"/>
  <c r="R31" i="30" s="1"/>
  <c r="P30" i="30"/>
  <c r="R30" i="30" s="1"/>
  <c r="P29" i="30"/>
  <c r="R29" i="30" s="1"/>
  <c r="P28" i="30"/>
  <c r="R28" i="30" s="1"/>
  <c r="P27" i="30"/>
  <c r="R27" i="30" s="1"/>
  <c r="P26" i="30"/>
  <c r="R26" i="30" s="1"/>
  <c r="P25" i="30"/>
  <c r="R25" i="30" s="1"/>
  <c r="P24" i="30"/>
  <c r="R24" i="30" s="1"/>
  <c r="H23" i="30"/>
  <c r="J23" i="30" s="1"/>
  <c r="P22" i="30"/>
  <c r="R22" i="30" s="1"/>
  <c r="P21" i="30"/>
  <c r="R21" i="30" s="1"/>
  <c r="P20" i="30"/>
  <c r="R20" i="30" s="1"/>
  <c r="P18" i="30"/>
  <c r="R18" i="30" s="1"/>
  <c r="H17" i="30"/>
  <c r="P16" i="30"/>
  <c r="R16" i="30" s="1"/>
  <c r="P15" i="30"/>
  <c r="R15" i="30" s="1"/>
  <c r="P14" i="30"/>
  <c r="R14" i="30" s="1"/>
  <c r="P13" i="30"/>
  <c r="R13" i="30" s="1"/>
  <c r="P12" i="30"/>
  <c r="R12" i="30" s="1"/>
  <c r="H11" i="30"/>
  <c r="P10" i="30"/>
  <c r="R10" i="30" s="1"/>
  <c r="P9" i="30"/>
  <c r="R9" i="30" s="1"/>
  <c r="L7" i="30"/>
  <c r="L6" i="30" s="1"/>
  <c r="G16" i="15" s="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P20" i="20"/>
  <c r="R20" i="20" s="1"/>
  <c r="L19" i="20"/>
  <c r="H19" i="20"/>
  <c r="J19" i="20" s="1"/>
  <c r="P17" i="20"/>
  <c r="R17" i="20" s="1"/>
  <c r="P16" i="20"/>
  <c r="R16" i="20" s="1"/>
  <c r="P15" i="20"/>
  <c r="R15" i="20" s="1"/>
  <c r="L14" i="20"/>
  <c r="P13" i="20"/>
  <c r="P12" i="20"/>
  <c r="R12" i="20" s="1"/>
  <c r="P11" i="20"/>
  <c r="R11" i="20" s="1"/>
  <c r="H10" i="20"/>
  <c r="P8" i="20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P83" i="34"/>
  <c r="R83" i="34" s="1"/>
  <c r="P82" i="34"/>
  <c r="R82" i="34" s="1"/>
  <c r="H81" i="34"/>
  <c r="H80" i="34"/>
  <c r="H79" i="34"/>
  <c r="J79" i="34" s="1"/>
  <c r="P78" i="34"/>
  <c r="R78" i="34" s="1"/>
  <c r="H77" i="34"/>
  <c r="H75" i="34"/>
  <c r="H74" i="34"/>
  <c r="J74" i="34" s="1"/>
  <c r="L72" i="34"/>
  <c r="P71" i="34"/>
  <c r="R71" i="34" s="1"/>
  <c r="P70" i="34"/>
  <c r="R70" i="34" s="1"/>
  <c r="P69" i="34"/>
  <c r="R69" i="34" s="1"/>
  <c r="H68" i="34"/>
  <c r="P67" i="34"/>
  <c r="R67" i="34" s="1"/>
  <c r="P66" i="34"/>
  <c r="R66" i="34" s="1"/>
  <c r="P63" i="34"/>
  <c r="R63" i="34" s="1"/>
  <c r="H62" i="34"/>
  <c r="J62" i="34" s="1"/>
  <c r="P58" i="34"/>
  <c r="R58" i="34" s="1"/>
  <c r="P57" i="34"/>
  <c r="R57" i="34" s="1"/>
  <c r="P56" i="34"/>
  <c r="R56" i="34" s="1"/>
  <c r="L55" i="34"/>
  <c r="P54" i="34"/>
  <c r="R54" i="34" s="1"/>
  <c r="P53" i="34"/>
  <c r="R53" i="34" s="1"/>
  <c r="P52" i="34"/>
  <c r="R52" i="34" s="1"/>
  <c r="L51" i="34"/>
  <c r="H51" i="34"/>
  <c r="J51" i="34" s="1"/>
  <c r="P47" i="34"/>
  <c r="R47" i="34" s="1"/>
  <c r="P46" i="34"/>
  <c r="R46" i="34" s="1"/>
  <c r="P37" i="34"/>
  <c r="R37" i="34" s="1"/>
  <c r="P36" i="34"/>
  <c r="R36" i="34" s="1"/>
  <c r="P35" i="34"/>
  <c r="R35" i="34" s="1"/>
  <c r="P33" i="34"/>
  <c r="R33" i="34" s="1"/>
  <c r="P32" i="34"/>
  <c r="R32" i="34" s="1"/>
  <c r="P30" i="34"/>
  <c r="R30" i="34" s="1"/>
  <c r="P29" i="34"/>
  <c r="R29" i="34" s="1"/>
  <c r="P27" i="34"/>
  <c r="R27" i="34" s="1"/>
  <c r="P25" i="34"/>
  <c r="R25" i="34" s="1"/>
  <c r="P24" i="34"/>
  <c r="R24" i="34" s="1"/>
  <c r="P23" i="34"/>
  <c r="R23" i="34" s="1"/>
  <c r="P21" i="34"/>
  <c r="R21" i="34" s="1"/>
  <c r="P19" i="34"/>
  <c r="R19" i="34" s="1"/>
  <c r="P18" i="34"/>
  <c r="R18" i="34" s="1"/>
  <c r="P17" i="34"/>
  <c r="R17" i="34" s="1"/>
  <c r="P16" i="34"/>
  <c r="R16" i="34" s="1"/>
  <c r="P15" i="34"/>
  <c r="R15" i="34" s="1"/>
  <c r="P14" i="34"/>
  <c r="R14" i="34" s="1"/>
  <c r="P13" i="34"/>
  <c r="R13" i="34" s="1"/>
  <c r="H12" i="34"/>
  <c r="J12" i="34" s="1"/>
  <c r="P11" i="34"/>
  <c r="R11" i="34" s="1"/>
  <c r="P10" i="34"/>
  <c r="R10" i="34" s="1"/>
  <c r="L8" i="34"/>
  <c r="N8" i="34" s="1"/>
  <c r="B8" i="34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P51" i="33"/>
  <c r="R51" i="33" s="1"/>
  <c r="P48" i="33"/>
  <c r="R48" i="33" s="1"/>
  <c r="P47" i="33"/>
  <c r="R47" i="33" s="1"/>
  <c r="P46" i="33"/>
  <c r="R46" i="33" s="1"/>
  <c r="P45" i="33"/>
  <c r="R45" i="33" s="1"/>
  <c r="P44" i="33"/>
  <c r="R44" i="33" s="1"/>
  <c r="P43" i="33"/>
  <c r="R43" i="33" s="1"/>
  <c r="P40" i="33"/>
  <c r="R40" i="33" s="1"/>
  <c r="P39" i="33"/>
  <c r="R39" i="33" s="1"/>
  <c r="P38" i="33"/>
  <c r="R38" i="33" s="1"/>
  <c r="P34" i="33"/>
  <c r="R34" i="33" s="1"/>
  <c r="P33" i="33"/>
  <c r="R33" i="33" s="1"/>
  <c r="P32" i="33"/>
  <c r="R32" i="33" s="1"/>
  <c r="P31" i="33"/>
  <c r="R31" i="33" s="1"/>
  <c r="P30" i="33"/>
  <c r="R30" i="33" s="1"/>
  <c r="P29" i="33"/>
  <c r="R29" i="33" s="1"/>
  <c r="P28" i="33"/>
  <c r="R28" i="33" s="1"/>
  <c r="P27" i="33"/>
  <c r="R27" i="33" s="1"/>
  <c r="P26" i="33"/>
  <c r="R26" i="33" s="1"/>
  <c r="P25" i="33"/>
  <c r="R25" i="33" s="1"/>
  <c r="P24" i="33"/>
  <c r="R24" i="33" s="1"/>
  <c r="P23" i="33"/>
  <c r="R23" i="33" s="1"/>
  <c r="H22" i="33"/>
  <c r="J22" i="33" s="1"/>
  <c r="P12" i="33"/>
  <c r="R12" i="33" s="1"/>
  <c r="P11" i="33"/>
  <c r="R11" i="33" s="1"/>
  <c r="P10" i="33"/>
  <c r="R10" i="33" s="1"/>
  <c r="P8" i="33"/>
  <c r="R8" i="33" s="1"/>
  <c r="L7" i="33"/>
  <c r="B7" i="33"/>
  <c r="B8" i="33" s="1"/>
  <c r="B9" i="33" s="1"/>
  <c r="P74" i="31"/>
  <c r="R74" i="31" s="1"/>
  <c r="P73" i="31"/>
  <c r="R73" i="31" s="1"/>
  <c r="P72" i="31"/>
  <c r="R72" i="31" s="1"/>
  <c r="P71" i="31"/>
  <c r="R71" i="31" s="1"/>
  <c r="P70" i="31"/>
  <c r="R70" i="31" s="1"/>
  <c r="H69" i="31"/>
  <c r="P68" i="31"/>
  <c r="R68" i="31" s="1"/>
  <c r="P67" i="31"/>
  <c r="R67" i="31" s="1"/>
  <c r="P63" i="31"/>
  <c r="P61" i="31"/>
  <c r="R61" i="31" s="1"/>
  <c r="P60" i="31"/>
  <c r="R60" i="31" s="1"/>
  <c r="P57" i="31"/>
  <c r="R57" i="31" s="1"/>
  <c r="P56" i="31"/>
  <c r="R56" i="31" s="1"/>
  <c r="P55" i="31"/>
  <c r="R55" i="31" s="1"/>
  <c r="P54" i="31"/>
  <c r="R54" i="31" s="1"/>
  <c r="P53" i="31"/>
  <c r="R53" i="31" s="1"/>
  <c r="H52" i="31"/>
  <c r="P51" i="31"/>
  <c r="R51" i="31" s="1"/>
  <c r="P50" i="31"/>
  <c r="R50" i="31" s="1"/>
  <c r="P48" i="31"/>
  <c r="R48" i="31" s="1"/>
  <c r="P43" i="31"/>
  <c r="R43" i="31" s="1"/>
  <c r="P41" i="31"/>
  <c r="R41" i="31" s="1"/>
  <c r="P40" i="31"/>
  <c r="R40" i="31" s="1"/>
  <c r="P39" i="31"/>
  <c r="R39" i="31" s="1"/>
  <c r="P38" i="31"/>
  <c r="R38" i="31" s="1"/>
  <c r="P37" i="31"/>
  <c r="R37" i="31" s="1"/>
  <c r="P36" i="31"/>
  <c r="R36" i="31" s="1"/>
  <c r="H35" i="31"/>
  <c r="P34" i="31"/>
  <c r="R34" i="31" s="1"/>
  <c r="P33" i="31"/>
  <c r="R33" i="31" s="1"/>
  <c r="P28" i="31"/>
  <c r="R28" i="31" s="1"/>
  <c r="P27" i="31"/>
  <c r="R27" i="31" s="1"/>
  <c r="P25" i="31"/>
  <c r="R25" i="31" s="1"/>
  <c r="P24" i="31"/>
  <c r="R24" i="31" s="1"/>
  <c r="P22" i="31"/>
  <c r="R22" i="31" s="1"/>
  <c r="P21" i="31"/>
  <c r="R21" i="31" s="1"/>
  <c r="H20" i="31"/>
  <c r="P12" i="31"/>
  <c r="R12" i="31" s="1"/>
  <c r="P11" i="31"/>
  <c r="R11" i="31" s="1"/>
  <c r="P10" i="31"/>
  <c r="R10" i="31" s="1"/>
  <c r="P9" i="31"/>
  <c r="R9" i="31" s="1"/>
  <c r="P8" i="31"/>
  <c r="R8" i="31" s="1"/>
  <c r="P7" i="31"/>
  <c r="R7" i="31" s="1"/>
  <c r="P6" i="31"/>
  <c r="B6" i="31"/>
  <c r="B7" i="31" s="1"/>
  <c r="B8" i="31" s="1"/>
  <c r="B9" i="31" s="1"/>
  <c r="B10" i="31" s="1"/>
  <c r="P789" i="27"/>
  <c r="R789" i="27" s="1"/>
  <c r="P788" i="27"/>
  <c r="R788" i="27" s="1"/>
  <c r="P787" i="27"/>
  <c r="R787" i="27" s="1"/>
  <c r="P786" i="27"/>
  <c r="R786" i="27" s="1"/>
  <c r="P785" i="27"/>
  <c r="R785" i="27" s="1"/>
  <c r="P784" i="27"/>
  <c r="R784" i="27" s="1"/>
  <c r="P783" i="27"/>
  <c r="R783" i="27" s="1"/>
  <c r="P782" i="27"/>
  <c r="R782" i="27" s="1"/>
  <c r="P780" i="27"/>
  <c r="R780" i="27" s="1"/>
  <c r="P779" i="27"/>
  <c r="R779" i="27" s="1"/>
  <c r="P778" i="27"/>
  <c r="R778" i="27" s="1"/>
  <c r="P777" i="27"/>
  <c r="R777" i="27" s="1"/>
  <c r="H776" i="27"/>
  <c r="P774" i="27"/>
  <c r="R774" i="27" s="1"/>
  <c r="P773" i="27"/>
  <c r="R773" i="27" s="1"/>
  <c r="P772" i="27"/>
  <c r="R772" i="27" s="1"/>
  <c r="P771" i="27"/>
  <c r="R771" i="27" s="1"/>
  <c r="P770" i="27"/>
  <c r="R770" i="27" s="1"/>
  <c r="P769" i="27"/>
  <c r="R769" i="27" s="1"/>
  <c r="P768" i="27"/>
  <c r="R768" i="27" s="1"/>
  <c r="H766" i="27"/>
  <c r="P765" i="27"/>
  <c r="R765" i="27" s="1"/>
  <c r="P764" i="27"/>
  <c r="R764" i="27" s="1"/>
  <c r="P760" i="27"/>
  <c r="R760" i="27" s="1"/>
  <c r="P759" i="27"/>
  <c r="R759" i="27" s="1"/>
  <c r="P758" i="27"/>
  <c r="R758" i="27" s="1"/>
  <c r="P757" i="27"/>
  <c r="R757" i="27" s="1"/>
  <c r="P755" i="27"/>
  <c r="R755" i="27" s="1"/>
  <c r="H754" i="27"/>
  <c r="J754" i="27" s="1"/>
  <c r="P752" i="27"/>
  <c r="R752" i="27" s="1"/>
  <c r="P751" i="27"/>
  <c r="R751" i="27" s="1"/>
  <c r="H750" i="27"/>
  <c r="P747" i="27"/>
  <c r="R747" i="27" s="1"/>
  <c r="P746" i="27"/>
  <c r="R746" i="27" s="1"/>
  <c r="P745" i="27"/>
  <c r="R745" i="27" s="1"/>
  <c r="P744" i="27"/>
  <c r="R744" i="27" s="1"/>
  <c r="P743" i="27"/>
  <c r="R743" i="27" s="1"/>
  <c r="H742" i="27"/>
  <c r="P741" i="27"/>
  <c r="R741" i="27" s="1"/>
  <c r="P740" i="27"/>
  <c r="R740" i="27" s="1"/>
  <c r="P738" i="27"/>
  <c r="R738" i="27" s="1"/>
  <c r="P737" i="27"/>
  <c r="R737" i="27" s="1"/>
  <c r="P736" i="27"/>
  <c r="R736" i="27" s="1"/>
  <c r="P735" i="27"/>
  <c r="R735" i="27" s="1"/>
  <c r="P734" i="27"/>
  <c r="R734" i="27" s="1"/>
  <c r="P733" i="27"/>
  <c r="R733" i="27" s="1"/>
  <c r="H732" i="27"/>
  <c r="P731" i="27"/>
  <c r="R731" i="27" s="1"/>
  <c r="P730" i="27"/>
  <c r="R730" i="27" s="1"/>
  <c r="P726" i="27"/>
  <c r="R726" i="27" s="1"/>
  <c r="P725" i="27"/>
  <c r="R725" i="27" s="1"/>
  <c r="P724" i="27"/>
  <c r="R724" i="27" s="1"/>
  <c r="P723" i="27"/>
  <c r="R723" i="27" s="1"/>
  <c r="P722" i="27"/>
  <c r="R722" i="27" s="1"/>
  <c r="H721" i="27"/>
  <c r="P719" i="27"/>
  <c r="R719" i="27" s="1"/>
  <c r="P716" i="27"/>
  <c r="R716" i="27" s="1"/>
  <c r="P715" i="27"/>
  <c r="R715" i="27" s="1"/>
  <c r="P714" i="27"/>
  <c r="R714" i="27" s="1"/>
  <c r="H713" i="27"/>
  <c r="H712" i="27"/>
  <c r="H711" i="27"/>
  <c r="P708" i="27"/>
  <c r="R708" i="27" s="1"/>
  <c r="P707" i="27"/>
  <c r="R707" i="27" s="1"/>
  <c r="P706" i="27"/>
  <c r="R706" i="27" s="1"/>
  <c r="P705" i="27"/>
  <c r="R705" i="27" s="1"/>
  <c r="P704" i="27"/>
  <c r="R704" i="27" s="1"/>
  <c r="H703" i="27"/>
  <c r="J703" i="27" s="1"/>
  <c r="P702" i="27"/>
  <c r="R702" i="27" s="1"/>
  <c r="P701" i="27"/>
  <c r="R701" i="27" s="1"/>
  <c r="P699" i="27"/>
  <c r="R699" i="27" s="1"/>
  <c r="P698" i="27"/>
  <c r="R698" i="27" s="1"/>
  <c r="P697" i="27"/>
  <c r="R697" i="27" s="1"/>
  <c r="P696" i="27"/>
  <c r="R696" i="27" s="1"/>
  <c r="P695" i="27"/>
  <c r="R695" i="27" s="1"/>
  <c r="H694" i="27"/>
  <c r="P693" i="27"/>
  <c r="R693" i="27" s="1"/>
  <c r="P692" i="27"/>
  <c r="R692" i="27" s="1"/>
  <c r="P688" i="27"/>
  <c r="R688" i="27" s="1"/>
  <c r="P687" i="27"/>
  <c r="R687" i="27" s="1"/>
  <c r="P686" i="27"/>
  <c r="R686" i="27" s="1"/>
  <c r="P685" i="27"/>
  <c r="R685" i="27" s="1"/>
  <c r="H684" i="27"/>
  <c r="H683" i="27"/>
  <c r="J683" i="27" s="1"/>
  <c r="P682" i="27"/>
  <c r="R682" i="27" s="1"/>
  <c r="P679" i="27"/>
  <c r="R679" i="27" s="1"/>
  <c r="P678" i="27"/>
  <c r="R678" i="27" s="1"/>
  <c r="P677" i="27"/>
  <c r="R677" i="27" s="1"/>
  <c r="P676" i="27"/>
  <c r="R676" i="27" s="1"/>
  <c r="H675" i="27"/>
  <c r="H674" i="27"/>
  <c r="J674" i="27" s="1"/>
  <c r="P670" i="27"/>
  <c r="R670" i="27" s="1"/>
  <c r="P669" i="27"/>
  <c r="R669" i="27" s="1"/>
  <c r="P668" i="27"/>
  <c r="R668" i="27" s="1"/>
  <c r="P667" i="27"/>
  <c r="R667" i="27" s="1"/>
  <c r="P666" i="27"/>
  <c r="R666" i="27" s="1"/>
  <c r="P665" i="27"/>
  <c r="R665" i="27" s="1"/>
  <c r="H664" i="27"/>
  <c r="H663" i="27"/>
  <c r="H662" i="27"/>
  <c r="P660" i="27"/>
  <c r="R660" i="27" s="1"/>
  <c r="P659" i="27"/>
  <c r="R659" i="27" s="1"/>
  <c r="P658" i="27"/>
  <c r="R658" i="27" s="1"/>
  <c r="P657" i="27"/>
  <c r="R657" i="27" s="1"/>
  <c r="P656" i="27"/>
  <c r="R656" i="27" s="1"/>
  <c r="P655" i="27"/>
  <c r="R655" i="27" s="1"/>
  <c r="P654" i="27"/>
  <c r="R654" i="27" s="1"/>
  <c r="H653" i="27"/>
  <c r="H652" i="27"/>
  <c r="H651" i="27"/>
  <c r="L649" i="27"/>
  <c r="N649" i="27" s="1"/>
  <c r="P648" i="27"/>
  <c r="R648" i="27" s="1"/>
  <c r="P647" i="27"/>
  <c r="R647" i="27" s="1"/>
  <c r="P646" i="27"/>
  <c r="R646" i="27" s="1"/>
  <c r="P645" i="27"/>
  <c r="R645" i="27" s="1"/>
  <c r="H644" i="27"/>
  <c r="J644" i="27" s="1"/>
  <c r="P643" i="27"/>
  <c r="R643" i="27" s="1"/>
  <c r="P642" i="27"/>
  <c r="R642" i="27" s="1"/>
  <c r="P640" i="27"/>
  <c r="R640" i="27" s="1"/>
  <c r="P639" i="27"/>
  <c r="R639" i="27" s="1"/>
  <c r="P638" i="27"/>
  <c r="R638" i="27" s="1"/>
  <c r="P637" i="27"/>
  <c r="R637" i="27" s="1"/>
  <c r="H636" i="27"/>
  <c r="H635" i="27"/>
  <c r="H634" i="27"/>
  <c r="J634" i="27" s="1"/>
  <c r="P631" i="27"/>
  <c r="R631" i="27" s="1"/>
  <c r="P630" i="27"/>
  <c r="R630" i="27" s="1"/>
  <c r="P629" i="27"/>
  <c r="R629" i="27" s="1"/>
  <c r="P628" i="27"/>
  <c r="R628" i="27" s="1"/>
  <c r="P627" i="27"/>
  <c r="R627" i="27" s="1"/>
  <c r="H626" i="27"/>
  <c r="P625" i="27"/>
  <c r="R625" i="27" s="1"/>
  <c r="P624" i="27"/>
  <c r="R624" i="27" s="1"/>
  <c r="P622" i="27"/>
  <c r="R622" i="27" s="1"/>
  <c r="P621" i="27"/>
  <c r="R621" i="27" s="1"/>
  <c r="P620" i="27"/>
  <c r="R620" i="27" s="1"/>
  <c r="P619" i="27"/>
  <c r="R619" i="27" s="1"/>
  <c r="P618" i="27"/>
  <c r="R618" i="27" s="1"/>
  <c r="H617" i="27"/>
  <c r="P616" i="27"/>
  <c r="R616" i="27" s="1"/>
  <c r="P615" i="27"/>
  <c r="R615" i="27" s="1"/>
  <c r="P609" i="27"/>
  <c r="R609" i="27" s="1"/>
  <c r="P608" i="27"/>
  <c r="R608" i="27" s="1"/>
  <c r="P607" i="27"/>
  <c r="R607" i="27" s="1"/>
  <c r="H606" i="27"/>
  <c r="P605" i="27"/>
  <c r="R605" i="27" s="1"/>
  <c r="P602" i="27"/>
  <c r="R602" i="27" s="1"/>
  <c r="P601" i="27"/>
  <c r="R601" i="27" s="1"/>
  <c r="P600" i="27"/>
  <c r="R600" i="27" s="1"/>
  <c r="P599" i="27"/>
  <c r="R599" i="27" s="1"/>
  <c r="H598" i="27"/>
  <c r="P597" i="27"/>
  <c r="R597" i="27" s="1"/>
  <c r="P596" i="27"/>
  <c r="R596" i="27" s="1"/>
  <c r="P594" i="27"/>
  <c r="R594" i="27" s="1"/>
  <c r="P593" i="27"/>
  <c r="R593" i="27" s="1"/>
  <c r="P592" i="27"/>
  <c r="R592" i="27" s="1"/>
  <c r="P591" i="27"/>
  <c r="R591" i="27" s="1"/>
  <c r="H590" i="27"/>
  <c r="P589" i="27"/>
  <c r="R589" i="27" s="1"/>
  <c r="L587" i="27"/>
  <c r="N587" i="27" s="1"/>
  <c r="P585" i="27"/>
  <c r="R585" i="27" s="1"/>
  <c r="P584" i="27"/>
  <c r="R584" i="27" s="1"/>
  <c r="P583" i="27"/>
  <c r="R583" i="27" s="1"/>
  <c r="H582" i="27"/>
  <c r="P581" i="27"/>
  <c r="R581" i="27" s="1"/>
  <c r="P580" i="27"/>
  <c r="R580" i="27" s="1"/>
  <c r="P578" i="27"/>
  <c r="R578" i="27" s="1"/>
  <c r="P576" i="27"/>
  <c r="R576" i="27" s="1"/>
  <c r="P575" i="27"/>
  <c r="R575" i="27" s="1"/>
  <c r="P574" i="27"/>
  <c r="R574" i="27" s="1"/>
  <c r="H573" i="27"/>
  <c r="P572" i="27"/>
  <c r="R572" i="27" s="1"/>
  <c r="P571" i="27"/>
  <c r="R571" i="27" s="1"/>
  <c r="L570" i="27"/>
  <c r="N570" i="27" s="1"/>
  <c r="P569" i="27"/>
  <c r="R569" i="27" s="1"/>
  <c r="P567" i="27"/>
  <c r="R567" i="27" s="1"/>
  <c r="P566" i="27"/>
  <c r="R566" i="27" s="1"/>
  <c r="P565" i="27"/>
  <c r="R565" i="27" s="1"/>
  <c r="H564" i="27"/>
  <c r="P563" i="27"/>
  <c r="R563" i="27" s="1"/>
  <c r="P562" i="27"/>
  <c r="R562" i="27" s="1"/>
  <c r="L561" i="27"/>
  <c r="N561" i="27" s="1"/>
  <c r="P560" i="27"/>
  <c r="R560" i="27" s="1"/>
  <c r="P558" i="27"/>
  <c r="R558" i="27" s="1"/>
  <c r="P557" i="27"/>
  <c r="R557" i="27" s="1"/>
  <c r="P556" i="27"/>
  <c r="R556" i="27" s="1"/>
  <c r="H555" i="27"/>
  <c r="P554" i="27"/>
  <c r="R554" i="27" s="1"/>
  <c r="L552" i="27"/>
  <c r="N552" i="27" s="1"/>
  <c r="P549" i="27"/>
  <c r="R549" i="27" s="1"/>
  <c r="P548" i="27"/>
  <c r="R548" i="27" s="1"/>
  <c r="P547" i="27"/>
  <c r="R547" i="27" s="1"/>
  <c r="P546" i="27"/>
  <c r="R546" i="27" s="1"/>
  <c r="H545" i="27"/>
  <c r="P543" i="27"/>
  <c r="R543" i="27" s="1"/>
  <c r="P539" i="27"/>
  <c r="R539" i="27" s="1"/>
  <c r="P538" i="27"/>
  <c r="R538" i="27" s="1"/>
  <c r="P537" i="27"/>
  <c r="R537" i="27" s="1"/>
  <c r="H536" i="27"/>
  <c r="P534" i="27"/>
  <c r="R534" i="27" s="1"/>
  <c r="P531" i="27"/>
  <c r="R531" i="27" s="1"/>
  <c r="P530" i="27"/>
  <c r="R530" i="27" s="1"/>
  <c r="P529" i="27"/>
  <c r="R529" i="27" s="1"/>
  <c r="P528" i="27"/>
  <c r="R528" i="27" s="1"/>
  <c r="H527" i="27"/>
  <c r="P526" i="27"/>
  <c r="R526" i="27" s="1"/>
  <c r="P523" i="27"/>
  <c r="R523" i="27" s="1"/>
  <c r="P522" i="27"/>
  <c r="R522" i="27" s="1"/>
  <c r="P521" i="27"/>
  <c r="R521" i="27" s="1"/>
  <c r="H520" i="27"/>
  <c r="P519" i="27"/>
  <c r="R519" i="27" s="1"/>
  <c r="P518" i="27"/>
  <c r="R518" i="27" s="1"/>
  <c r="P515" i="27"/>
  <c r="R515" i="27" s="1"/>
  <c r="P514" i="27"/>
  <c r="R514" i="27" s="1"/>
  <c r="P513" i="27"/>
  <c r="R513" i="27" s="1"/>
  <c r="H512" i="27"/>
  <c r="P511" i="27"/>
  <c r="R511" i="27" s="1"/>
  <c r="P507" i="27"/>
  <c r="R507" i="27" s="1"/>
  <c r="P506" i="27"/>
  <c r="R506" i="27" s="1"/>
  <c r="P505" i="27"/>
  <c r="R505" i="27" s="1"/>
  <c r="H504" i="27"/>
  <c r="P503" i="27"/>
  <c r="R503" i="27" s="1"/>
  <c r="P502" i="27"/>
  <c r="R502" i="27" s="1"/>
  <c r="P498" i="27"/>
  <c r="R498" i="27" s="1"/>
  <c r="P497" i="27"/>
  <c r="R497" i="27" s="1"/>
  <c r="P496" i="27"/>
  <c r="R496" i="27" s="1"/>
  <c r="H495" i="27"/>
  <c r="P494" i="27"/>
  <c r="R494" i="27" s="1"/>
  <c r="P488" i="27"/>
  <c r="R488" i="27" s="1"/>
  <c r="P487" i="27"/>
  <c r="R487" i="27" s="1"/>
  <c r="P485" i="27"/>
  <c r="R485" i="27" s="1"/>
  <c r="P484" i="27"/>
  <c r="R484" i="27" s="1"/>
  <c r="P483" i="27"/>
  <c r="R483" i="27" s="1"/>
  <c r="P481" i="27"/>
  <c r="R481" i="27" s="1"/>
  <c r="P480" i="27"/>
  <c r="R480" i="27" s="1"/>
  <c r="P479" i="27"/>
  <c r="R479" i="27" s="1"/>
  <c r="H478" i="27"/>
  <c r="P477" i="27"/>
  <c r="R477" i="27" s="1"/>
  <c r="P476" i="27"/>
  <c r="R476" i="27" s="1"/>
  <c r="P474" i="27"/>
  <c r="R474" i="27" s="1"/>
  <c r="P473" i="27"/>
  <c r="R473" i="27" s="1"/>
  <c r="P472" i="27"/>
  <c r="R472" i="27" s="1"/>
  <c r="P471" i="27"/>
  <c r="R471" i="27" s="1"/>
  <c r="P470" i="27"/>
  <c r="R470" i="27" s="1"/>
  <c r="P469" i="27"/>
  <c r="R469" i="27" s="1"/>
  <c r="P468" i="27"/>
  <c r="R468" i="27" s="1"/>
  <c r="H467" i="27"/>
  <c r="P466" i="27"/>
  <c r="R466" i="27" s="1"/>
  <c r="P462" i="27"/>
  <c r="R462" i="27" s="1"/>
  <c r="P461" i="27"/>
  <c r="R461" i="27" s="1"/>
  <c r="P460" i="27"/>
  <c r="R460" i="27" s="1"/>
  <c r="P459" i="27"/>
  <c r="R459" i="27" s="1"/>
  <c r="P457" i="27"/>
  <c r="R457" i="27" s="1"/>
  <c r="P456" i="27"/>
  <c r="R456" i="27" s="1"/>
  <c r="P455" i="27"/>
  <c r="R455" i="27" s="1"/>
  <c r="H454" i="27"/>
  <c r="H453" i="27"/>
  <c r="H452" i="27"/>
  <c r="J452" i="27" s="1"/>
  <c r="P450" i="27"/>
  <c r="R450" i="27" s="1"/>
  <c r="P449" i="27"/>
  <c r="R449" i="27" s="1"/>
  <c r="P448" i="27"/>
  <c r="R448" i="27" s="1"/>
  <c r="P447" i="27"/>
  <c r="R447" i="27" s="1"/>
  <c r="H446" i="27"/>
  <c r="H445" i="27"/>
  <c r="P442" i="27"/>
  <c r="R442" i="27" s="1"/>
  <c r="P441" i="27"/>
  <c r="R441" i="27" s="1"/>
  <c r="P440" i="27"/>
  <c r="R440" i="27" s="1"/>
  <c r="H439" i="27"/>
  <c r="H436" i="27" s="1"/>
  <c r="P438" i="27"/>
  <c r="R438" i="27" s="1"/>
  <c r="P437" i="27"/>
  <c r="R437" i="27" s="1"/>
  <c r="P435" i="27"/>
  <c r="R435" i="27" s="1"/>
  <c r="P434" i="27"/>
  <c r="R434" i="27" s="1"/>
  <c r="P433" i="27"/>
  <c r="R433" i="27" s="1"/>
  <c r="H432" i="27"/>
  <c r="H431" i="27"/>
  <c r="H430" i="27"/>
  <c r="J430" i="27" s="1"/>
  <c r="P428" i="27"/>
  <c r="R428" i="27" s="1"/>
  <c r="P427" i="27"/>
  <c r="R427" i="27" s="1"/>
  <c r="P426" i="27"/>
  <c r="R426" i="27" s="1"/>
  <c r="P425" i="27"/>
  <c r="R425" i="27" s="1"/>
  <c r="H424" i="27"/>
  <c r="J424" i="27" s="1"/>
  <c r="P423" i="27"/>
  <c r="R423" i="27" s="1"/>
  <c r="P422" i="27"/>
  <c r="R422" i="27" s="1"/>
  <c r="P420" i="27"/>
  <c r="R420" i="27" s="1"/>
  <c r="P419" i="27"/>
  <c r="R419" i="27" s="1"/>
  <c r="P418" i="27"/>
  <c r="R418" i="27" s="1"/>
  <c r="P417" i="27"/>
  <c r="R417" i="27" s="1"/>
  <c r="H416" i="27"/>
  <c r="P415" i="27"/>
  <c r="R415" i="27" s="1"/>
  <c r="P412" i="27"/>
  <c r="R412" i="27" s="1"/>
  <c r="P411" i="27"/>
  <c r="R411" i="27" s="1"/>
  <c r="P410" i="27"/>
  <c r="R410" i="27" s="1"/>
  <c r="P409" i="27"/>
  <c r="R409" i="27" s="1"/>
  <c r="H408" i="27"/>
  <c r="H407" i="27"/>
  <c r="P406" i="27"/>
  <c r="R406" i="27" s="1"/>
  <c r="P404" i="27"/>
  <c r="R404" i="27" s="1"/>
  <c r="P403" i="27"/>
  <c r="R403" i="27" s="1"/>
  <c r="P402" i="27"/>
  <c r="R402" i="27" s="1"/>
  <c r="P401" i="27"/>
  <c r="R401" i="27" s="1"/>
  <c r="H400" i="27"/>
  <c r="P399" i="27"/>
  <c r="R399" i="27" s="1"/>
  <c r="P398" i="27"/>
  <c r="R398" i="27" s="1"/>
  <c r="P396" i="27"/>
  <c r="R396" i="27" s="1"/>
  <c r="P395" i="27"/>
  <c r="R395" i="27" s="1"/>
  <c r="P394" i="27"/>
  <c r="R394" i="27" s="1"/>
  <c r="H393" i="27"/>
  <c r="J393" i="27" s="1"/>
  <c r="P392" i="27"/>
  <c r="R392" i="27" s="1"/>
  <c r="P391" i="27"/>
  <c r="R391" i="27" s="1"/>
  <c r="P383" i="27"/>
  <c r="R383" i="27" s="1"/>
  <c r="P382" i="27"/>
  <c r="R382" i="27" s="1"/>
  <c r="P381" i="27"/>
  <c r="R381" i="27" s="1"/>
  <c r="P380" i="27"/>
  <c r="R380" i="27" s="1"/>
  <c r="P379" i="27"/>
  <c r="R379" i="27" s="1"/>
  <c r="H378" i="27"/>
  <c r="P377" i="27"/>
  <c r="R377" i="27" s="1"/>
  <c r="P376" i="27"/>
  <c r="R376" i="27" s="1"/>
  <c r="P374" i="27"/>
  <c r="R374" i="27" s="1"/>
  <c r="P373" i="27"/>
  <c r="R373" i="27" s="1"/>
  <c r="P372" i="27"/>
  <c r="R372" i="27" s="1"/>
  <c r="P371" i="27"/>
  <c r="R371" i="27" s="1"/>
  <c r="P370" i="27"/>
  <c r="R370" i="27" s="1"/>
  <c r="P369" i="27"/>
  <c r="R369" i="27" s="1"/>
  <c r="H368" i="27"/>
  <c r="J368" i="27" s="1"/>
  <c r="P367" i="27"/>
  <c r="R367" i="27" s="1"/>
  <c r="P366" i="27"/>
  <c r="R366" i="27" s="1"/>
  <c r="P361" i="27"/>
  <c r="R361" i="27" s="1"/>
  <c r="P359" i="27"/>
  <c r="R359" i="27" s="1"/>
  <c r="P358" i="27"/>
  <c r="R358" i="27" s="1"/>
  <c r="P357" i="27"/>
  <c r="R357" i="27" s="1"/>
  <c r="P356" i="27"/>
  <c r="R356" i="27" s="1"/>
  <c r="P355" i="27"/>
  <c r="R355" i="27" s="1"/>
  <c r="P354" i="27"/>
  <c r="R354" i="27" s="1"/>
  <c r="P353" i="27"/>
  <c r="R353" i="27" s="1"/>
  <c r="P352" i="27"/>
  <c r="R352" i="27" s="1"/>
  <c r="P350" i="27"/>
  <c r="R350" i="27" s="1"/>
  <c r="P349" i="27"/>
  <c r="R349" i="27" s="1"/>
  <c r="P348" i="27"/>
  <c r="R348" i="27" s="1"/>
  <c r="P347" i="27"/>
  <c r="R347" i="27" s="1"/>
  <c r="P346" i="27"/>
  <c r="R346" i="27" s="1"/>
  <c r="P345" i="27"/>
  <c r="R345" i="27" s="1"/>
  <c r="H344" i="27"/>
  <c r="J344" i="27" s="1"/>
  <c r="P343" i="27"/>
  <c r="R343" i="27" s="1"/>
  <c r="P342" i="27"/>
  <c r="R342" i="27" s="1"/>
  <c r="P337" i="27"/>
  <c r="R337" i="27" s="1"/>
  <c r="P335" i="27"/>
  <c r="R335" i="27" s="1"/>
  <c r="P334" i="27"/>
  <c r="R334" i="27" s="1"/>
  <c r="P333" i="27"/>
  <c r="R333" i="27" s="1"/>
  <c r="P332" i="27"/>
  <c r="R332" i="27" s="1"/>
  <c r="P331" i="27"/>
  <c r="R331" i="27" s="1"/>
  <c r="P329" i="27"/>
  <c r="R329" i="27" s="1"/>
  <c r="P328" i="27"/>
  <c r="R328" i="27" s="1"/>
  <c r="P327" i="27"/>
  <c r="R327" i="27" s="1"/>
  <c r="P325" i="27"/>
  <c r="R325" i="27" s="1"/>
  <c r="P324" i="27"/>
  <c r="R324" i="27" s="1"/>
  <c r="P322" i="27"/>
  <c r="R322" i="27" s="1"/>
  <c r="P321" i="27"/>
  <c r="R321" i="27" s="1"/>
  <c r="P320" i="27"/>
  <c r="R320" i="27" s="1"/>
  <c r="H319" i="27"/>
  <c r="P318" i="27"/>
  <c r="R318" i="27" s="1"/>
  <c r="P317" i="27"/>
  <c r="R317" i="27" s="1"/>
  <c r="P310" i="27"/>
  <c r="R310" i="27" s="1"/>
  <c r="P308" i="27"/>
  <c r="R308" i="27" s="1"/>
  <c r="P307" i="27"/>
  <c r="R307" i="27" s="1"/>
  <c r="P306" i="27"/>
  <c r="R306" i="27" s="1"/>
  <c r="P305" i="27"/>
  <c r="R305" i="27" s="1"/>
  <c r="P304" i="27"/>
  <c r="R304" i="27" s="1"/>
  <c r="P302" i="27"/>
  <c r="R302" i="27" s="1"/>
  <c r="P299" i="27"/>
  <c r="R299" i="27" s="1"/>
  <c r="P298" i="27"/>
  <c r="R298" i="27" s="1"/>
  <c r="P297" i="27"/>
  <c r="R297" i="27" s="1"/>
  <c r="P296" i="27"/>
  <c r="R296" i="27" s="1"/>
  <c r="P295" i="27"/>
  <c r="R295" i="27" s="1"/>
  <c r="P294" i="27"/>
  <c r="R294" i="27" s="1"/>
  <c r="H293" i="27"/>
  <c r="J293" i="27" s="1"/>
  <c r="P292" i="27"/>
  <c r="R292" i="27" s="1"/>
  <c r="P291" i="27"/>
  <c r="R291" i="27" s="1"/>
  <c r="P288" i="27"/>
  <c r="R288" i="27" s="1"/>
  <c r="P287" i="27"/>
  <c r="R287" i="27" s="1"/>
  <c r="P286" i="27"/>
  <c r="R286" i="27" s="1"/>
  <c r="P285" i="27"/>
  <c r="R285" i="27" s="1"/>
  <c r="P284" i="27"/>
  <c r="R284" i="27" s="1"/>
  <c r="P283" i="27"/>
  <c r="R283" i="27" s="1"/>
  <c r="P282" i="27"/>
  <c r="R282" i="27" s="1"/>
  <c r="P281" i="27"/>
  <c r="R281" i="27" s="1"/>
  <c r="H280" i="27"/>
  <c r="P279" i="27"/>
  <c r="R279" i="27" s="1"/>
  <c r="P278" i="27"/>
  <c r="R278" i="27" s="1"/>
  <c r="P276" i="27"/>
  <c r="R276" i="27" s="1"/>
  <c r="P275" i="27"/>
  <c r="R275" i="27" s="1"/>
  <c r="P274" i="27"/>
  <c r="R274" i="27" s="1"/>
  <c r="P273" i="27"/>
  <c r="R273" i="27" s="1"/>
  <c r="P272" i="27"/>
  <c r="R272" i="27" s="1"/>
  <c r="P271" i="27"/>
  <c r="R271" i="27" s="1"/>
  <c r="H270" i="27"/>
  <c r="J270" i="27" s="1"/>
  <c r="P269" i="27"/>
  <c r="R269" i="27" s="1"/>
  <c r="P268" i="27"/>
  <c r="R268" i="27" s="1"/>
  <c r="P261" i="27"/>
  <c r="R261" i="27" s="1"/>
  <c r="P260" i="27"/>
  <c r="R260" i="27" s="1"/>
  <c r="P258" i="27"/>
  <c r="R258" i="27" s="1"/>
  <c r="P257" i="27"/>
  <c r="R257" i="27" s="1"/>
  <c r="P256" i="27"/>
  <c r="R256" i="27" s="1"/>
  <c r="P255" i="27"/>
  <c r="R255" i="27" s="1"/>
  <c r="P254" i="27"/>
  <c r="R254" i="27" s="1"/>
  <c r="P252" i="27"/>
  <c r="R252" i="27" s="1"/>
  <c r="P251" i="27"/>
  <c r="R251" i="27" s="1"/>
  <c r="P249" i="27"/>
  <c r="R249" i="27" s="1"/>
  <c r="P248" i="27"/>
  <c r="R248" i="27" s="1"/>
  <c r="P247" i="27"/>
  <c r="R247" i="27" s="1"/>
  <c r="P246" i="27"/>
  <c r="R246" i="27" s="1"/>
  <c r="P245" i="27"/>
  <c r="R245" i="27" s="1"/>
  <c r="P244" i="27"/>
  <c r="R244" i="27" s="1"/>
  <c r="P243" i="27"/>
  <c r="R243" i="27" s="1"/>
  <c r="P242" i="27"/>
  <c r="R242" i="27" s="1"/>
  <c r="H241" i="27"/>
  <c r="J241" i="27" s="1"/>
  <c r="P240" i="27"/>
  <c r="R240" i="27" s="1"/>
  <c r="P239" i="27"/>
  <c r="R239" i="27" s="1"/>
  <c r="P234" i="27"/>
  <c r="R234" i="27" s="1"/>
  <c r="P232" i="27"/>
  <c r="R232" i="27" s="1"/>
  <c r="P231" i="27"/>
  <c r="R231" i="27" s="1"/>
  <c r="P230" i="27"/>
  <c r="R230" i="27" s="1"/>
  <c r="P229" i="27"/>
  <c r="R229" i="27" s="1"/>
  <c r="P228" i="27"/>
  <c r="R228" i="27" s="1"/>
  <c r="P227" i="27"/>
  <c r="R227" i="27" s="1"/>
  <c r="P226" i="27"/>
  <c r="R226" i="27" s="1"/>
  <c r="P225" i="27"/>
  <c r="R225" i="27" s="1"/>
  <c r="P224" i="27"/>
  <c r="R224" i="27" s="1"/>
  <c r="P222" i="27"/>
  <c r="R222" i="27" s="1"/>
  <c r="P221" i="27"/>
  <c r="R221" i="27" s="1"/>
  <c r="P220" i="27"/>
  <c r="R220" i="27" s="1"/>
  <c r="P219" i="27"/>
  <c r="R219" i="27" s="1"/>
  <c r="P218" i="27"/>
  <c r="R218" i="27" s="1"/>
  <c r="H216" i="27"/>
  <c r="P215" i="27"/>
  <c r="R215" i="27" s="1"/>
  <c r="P214" i="27"/>
  <c r="R214" i="27" s="1"/>
  <c r="P209" i="27"/>
  <c r="R209" i="27" s="1"/>
  <c r="P205" i="27"/>
  <c r="R205" i="27" s="1"/>
  <c r="P204" i="27"/>
  <c r="R204" i="27" s="1"/>
  <c r="P203" i="27"/>
  <c r="R203" i="27" s="1"/>
  <c r="P202" i="27"/>
  <c r="R202" i="27" s="1"/>
  <c r="P201" i="27"/>
  <c r="R201" i="27" s="1"/>
  <c r="P200" i="27"/>
  <c r="R200" i="27" s="1"/>
  <c r="P199" i="27"/>
  <c r="R199" i="27" s="1"/>
  <c r="P198" i="27"/>
  <c r="R198" i="27" s="1"/>
  <c r="P196" i="27"/>
  <c r="R196" i="27" s="1"/>
  <c r="P195" i="27"/>
  <c r="R195" i="27" s="1"/>
  <c r="P194" i="27"/>
  <c r="R194" i="27" s="1"/>
  <c r="P193" i="27"/>
  <c r="R193" i="27" s="1"/>
  <c r="P192" i="27"/>
  <c r="R192" i="27" s="1"/>
  <c r="P191" i="27"/>
  <c r="R191" i="27" s="1"/>
  <c r="P190" i="27"/>
  <c r="R190" i="27" s="1"/>
  <c r="H189" i="27"/>
  <c r="P188" i="27"/>
  <c r="R188" i="27" s="1"/>
  <c r="P182" i="27"/>
  <c r="R182" i="27" s="1"/>
  <c r="P181" i="27"/>
  <c r="R181" i="27" s="1"/>
  <c r="P180" i="27"/>
  <c r="R180" i="27" s="1"/>
  <c r="P179" i="27"/>
  <c r="R179" i="27" s="1"/>
  <c r="H174" i="27"/>
  <c r="J174" i="27" s="1"/>
  <c r="P177" i="27"/>
  <c r="R177" i="27" s="1"/>
  <c r="P176" i="27"/>
  <c r="R176" i="27" s="1"/>
  <c r="P171" i="27"/>
  <c r="R171" i="27" s="1"/>
  <c r="P170" i="27"/>
  <c r="R170" i="27" s="1"/>
  <c r="P169" i="27"/>
  <c r="R169" i="27" s="1"/>
  <c r="P167" i="27"/>
  <c r="R167" i="27" s="1"/>
  <c r="P165" i="27"/>
  <c r="R165" i="27" s="1"/>
  <c r="P164" i="27"/>
  <c r="R164" i="27" s="1"/>
  <c r="P163" i="27"/>
  <c r="R163" i="27" s="1"/>
  <c r="P162" i="27"/>
  <c r="R162" i="27" s="1"/>
  <c r="P161" i="27"/>
  <c r="R161" i="27" s="1"/>
  <c r="P160" i="27"/>
  <c r="R160" i="27" s="1"/>
  <c r="H159" i="27"/>
  <c r="J159" i="27" s="1"/>
  <c r="H158" i="27"/>
  <c r="H157" i="27"/>
  <c r="P155" i="27"/>
  <c r="R155" i="27" s="1"/>
  <c r="P154" i="27"/>
  <c r="R154" i="27" s="1"/>
  <c r="P153" i="27"/>
  <c r="R153" i="27" s="1"/>
  <c r="P152" i="27"/>
  <c r="R152" i="27" s="1"/>
  <c r="H151" i="27"/>
  <c r="J151" i="27" s="1"/>
  <c r="P149" i="27"/>
  <c r="R149" i="27" s="1"/>
  <c r="P148" i="27"/>
  <c r="R148" i="27" s="1"/>
  <c r="P146" i="27"/>
  <c r="R146" i="27" s="1"/>
  <c r="P145" i="27"/>
  <c r="R145" i="27" s="1"/>
  <c r="P144" i="27"/>
  <c r="R144" i="27" s="1"/>
  <c r="P142" i="27"/>
  <c r="R142" i="27" s="1"/>
  <c r="P141" i="27"/>
  <c r="R141" i="27" s="1"/>
  <c r="H140" i="27"/>
  <c r="P139" i="27"/>
  <c r="R139" i="27" s="1"/>
  <c r="P135" i="27"/>
  <c r="R135" i="27" s="1"/>
  <c r="P134" i="27"/>
  <c r="R134" i="27" s="1"/>
  <c r="P133" i="27"/>
  <c r="R133" i="27" s="1"/>
  <c r="P132" i="27"/>
  <c r="R132" i="27" s="1"/>
  <c r="H131" i="27"/>
  <c r="J131" i="27" s="1"/>
  <c r="P130" i="27"/>
  <c r="R130" i="27" s="1"/>
  <c r="P129" i="27"/>
  <c r="R129" i="27" s="1"/>
  <c r="P126" i="27"/>
  <c r="R126" i="27" s="1"/>
  <c r="P124" i="27"/>
  <c r="R124" i="27" s="1"/>
  <c r="P123" i="27"/>
  <c r="R123" i="27" s="1"/>
  <c r="H122" i="27"/>
  <c r="J122" i="27" s="1"/>
  <c r="P121" i="27"/>
  <c r="R121" i="27" s="1"/>
  <c r="P120" i="27"/>
  <c r="R120" i="27" s="1"/>
  <c r="P118" i="27"/>
  <c r="R118" i="27" s="1"/>
  <c r="P116" i="27"/>
  <c r="R116" i="27" s="1"/>
  <c r="P115" i="27"/>
  <c r="R115" i="27" s="1"/>
  <c r="P114" i="27"/>
  <c r="R114" i="27" s="1"/>
  <c r="P113" i="27"/>
  <c r="R113" i="27" s="1"/>
  <c r="H112" i="27"/>
  <c r="J112" i="27" s="1"/>
  <c r="P111" i="27"/>
  <c r="R111" i="27" s="1"/>
  <c r="P110" i="27"/>
  <c r="R110" i="27" s="1"/>
  <c r="L109" i="27"/>
  <c r="N109" i="27" s="1"/>
  <c r="P107" i="27"/>
  <c r="R107" i="27" s="1"/>
  <c r="P106" i="27"/>
  <c r="R106" i="27" s="1"/>
  <c r="P105" i="27"/>
  <c r="R105" i="27" s="1"/>
  <c r="P104" i="27"/>
  <c r="R104" i="27" s="1"/>
  <c r="P103" i="27"/>
  <c r="R103" i="27" s="1"/>
  <c r="P102" i="27"/>
  <c r="R102" i="27" s="1"/>
  <c r="H101" i="27"/>
  <c r="P100" i="27"/>
  <c r="R100" i="27" s="1"/>
  <c r="P99" i="27"/>
  <c r="R99" i="27" s="1"/>
  <c r="P96" i="27"/>
  <c r="R96" i="27" s="1"/>
  <c r="P95" i="27"/>
  <c r="R95" i="27" s="1"/>
  <c r="P94" i="27"/>
  <c r="R94" i="27" s="1"/>
  <c r="P93" i="27"/>
  <c r="R93" i="27" s="1"/>
  <c r="P92" i="27"/>
  <c r="R92" i="27" s="1"/>
  <c r="H91" i="27"/>
  <c r="P90" i="27"/>
  <c r="R90" i="27" s="1"/>
  <c r="P89" i="27"/>
  <c r="R89" i="27" s="1"/>
  <c r="P84" i="27"/>
  <c r="R84" i="27" s="1"/>
  <c r="P83" i="27"/>
  <c r="R83" i="27" s="1"/>
  <c r="P81" i="27"/>
  <c r="R81" i="27" s="1"/>
  <c r="P80" i="27"/>
  <c r="R80" i="27" s="1"/>
  <c r="H79" i="27"/>
  <c r="P78" i="27"/>
  <c r="R78" i="27" s="1"/>
  <c r="P77" i="27"/>
  <c r="R77" i="27" s="1"/>
  <c r="P75" i="27"/>
  <c r="R75" i="27" s="1"/>
  <c r="P74" i="27"/>
  <c r="R74" i="27" s="1"/>
  <c r="P73" i="27"/>
  <c r="R73" i="27" s="1"/>
  <c r="P71" i="27"/>
  <c r="R71" i="27" s="1"/>
  <c r="P70" i="27"/>
  <c r="R70" i="27" s="1"/>
  <c r="H69" i="27"/>
  <c r="P68" i="27"/>
  <c r="R68" i="27" s="1"/>
  <c r="P64" i="27"/>
  <c r="R64" i="27" s="1"/>
  <c r="P63" i="27"/>
  <c r="R63" i="27" s="1"/>
  <c r="P61" i="27"/>
  <c r="R61" i="27" s="1"/>
  <c r="P60" i="27"/>
  <c r="R60" i="27" s="1"/>
  <c r="H59" i="27"/>
  <c r="P58" i="27"/>
  <c r="R58" i="27" s="1"/>
  <c r="P55" i="27"/>
  <c r="R55" i="27" s="1"/>
  <c r="P53" i="27"/>
  <c r="R53" i="27" s="1"/>
  <c r="P51" i="27"/>
  <c r="R51" i="27" s="1"/>
  <c r="P50" i="27"/>
  <c r="R50" i="27" s="1"/>
  <c r="P49" i="27"/>
  <c r="R49" i="27" s="1"/>
  <c r="P48" i="27"/>
  <c r="R48" i="27" s="1"/>
  <c r="P47" i="27"/>
  <c r="R47" i="27" s="1"/>
  <c r="P45" i="27"/>
  <c r="R45" i="27" s="1"/>
  <c r="P44" i="27"/>
  <c r="R44" i="27" s="1"/>
  <c r="P43" i="27"/>
  <c r="R43" i="27" s="1"/>
  <c r="P42" i="27"/>
  <c r="R42" i="27" s="1"/>
  <c r="P41" i="27"/>
  <c r="R41" i="27" s="1"/>
  <c r="H40" i="27"/>
  <c r="P39" i="27"/>
  <c r="R39" i="27" s="1"/>
  <c r="P38" i="27"/>
  <c r="R38" i="27" s="1"/>
  <c r="P35" i="27"/>
  <c r="R35" i="27" s="1"/>
  <c r="P33" i="27"/>
  <c r="R33" i="27" s="1"/>
  <c r="P32" i="27"/>
  <c r="R32" i="27" s="1"/>
  <c r="H31" i="27"/>
  <c r="J31" i="27" s="1"/>
  <c r="P30" i="27"/>
  <c r="R30" i="27" s="1"/>
  <c r="P29" i="27"/>
  <c r="R29" i="27" s="1"/>
  <c r="P26" i="27"/>
  <c r="R26" i="27" s="1"/>
  <c r="P25" i="27"/>
  <c r="R25" i="27" s="1"/>
  <c r="P24" i="27"/>
  <c r="R24" i="27" s="1"/>
  <c r="P23" i="27"/>
  <c r="R23" i="27" s="1"/>
  <c r="P22" i="27"/>
  <c r="R22" i="27" s="1"/>
  <c r="H21" i="27"/>
  <c r="P19" i="27"/>
  <c r="R19" i="27" s="1"/>
  <c r="P16" i="27"/>
  <c r="R16" i="27" s="1"/>
  <c r="P15" i="27"/>
  <c r="R15" i="27" s="1"/>
  <c r="P14" i="27"/>
  <c r="R14" i="27" s="1"/>
  <c r="P13" i="27"/>
  <c r="R13" i="27" s="1"/>
  <c r="H12" i="27"/>
  <c r="J12" i="27" s="1"/>
  <c r="P10" i="27"/>
  <c r="R10" i="27" s="1"/>
  <c r="B7" i="27"/>
  <c r="B8" i="27" s="1"/>
  <c r="B9" i="27" s="1"/>
  <c r="B10" i="27" s="1"/>
  <c r="B11" i="27" s="1"/>
  <c r="B12" i="27" s="1"/>
  <c r="B13" i="27" s="1"/>
  <c r="B14" i="27" s="1"/>
  <c r="B15" i="27" s="1"/>
  <c r="B16" i="27" s="1"/>
  <c r="P36" i="26"/>
  <c r="P35" i="26"/>
  <c r="P33" i="26"/>
  <c r="P31" i="26"/>
  <c r="L30" i="26"/>
  <c r="L27" i="26" s="1"/>
  <c r="P29" i="26"/>
  <c r="P28" i="26"/>
  <c r="L25" i="26"/>
  <c r="L11" i="26" s="1"/>
  <c r="P23" i="26"/>
  <c r="P22" i="26"/>
  <c r="P21" i="26"/>
  <c r="P20" i="26"/>
  <c r="H19" i="26"/>
  <c r="P18" i="26"/>
  <c r="P17" i="26"/>
  <c r="P14" i="26"/>
  <c r="P13" i="26"/>
  <c r="P10" i="26"/>
  <c r="P8" i="26"/>
  <c r="B7" i="26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P48" i="25"/>
  <c r="R48" i="25" s="1"/>
  <c r="P47" i="25"/>
  <c r="R47" i="25" s="1"/>
  <c r="P40" i="25"/>
  <c r="R40" i="25" s="1"/>
  <c r="L39" i="25"/>
  <c r="H39" i="25"/>
  <c r="J39" i="25" s="1"/>
  <c r="P38" i="25"/>
  <c r="R38" i="25" s="1"/>
  <c r="P37" i="25"/>
  <c r="R37" i="25" s="1"/>
  <c r="L36" i="25"/>
  <c r="N36" i="25" s="1"/>
  <c r="H36" i="25"/>
  <c r="J36" i="25" s="1"/>
  <c r="P31" i="25"/>
  <c r="R31" i="25" s="1"/>
  <c r="P30" i="25"/>
  <c r="R30" i="25" s="1"/>
  <c r="H29" i="25"/>
  <c r="J29" i="25" s="1"/>
  <c r="P28" i="25"/>
  <c r="R28" i="25" s="1"/>
  <c r="P26" i="25"/>
  <c r="R26" i="25" s="1"/>
  <c r="P25" i="25"/>
  <c r="R25" i="25" s="1"/>
  <c r="P21" i="25"/>
  <c r="R21" i="25" s="1"/>
  <c r="P17" i="25"/>
  <c r="R17" i="25" s="1"/>
  <c r="P16" i="25"/>
  <c r="R16" i="25" s="1"/>
  <c r="P15" i="25"/>
  <c r="R15" i="25" s="1"/>
  <c r="P14" i="25"/>
  <c r="R14" i="25" s="1"/>
  <c r="P13" i="25"/>
  <c r="R13" i="25" s="1"/>
  <c r="P12" i="25"/>
  <c r="R12" i="25" s="1"/>
  <c r="P11" i="25"/>
  <c r="R11" i="25" s="1"/>
  <c r="P10" i="25"/>
  <c r="R10" i="25" s="1"/>
  <c r="H9" i="25"/>
  <c r="P8" i="25"/>
  <c r="R8" i="25" s="1"/>
  <c r="P7" i="25"/>
  <c r="R7" i="25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P72" i="24"/>
  <c r="P70" i="24"/>
  <c r="R70" i="24" s="1"/>
  <c r="P69" i="24"/>
  <c r="R69" i="24" s="1"/>
  <c r="P68" i="24"/>
  <c r="R68" i="24" s="1"/>
  <c r="P67" i="24"/>
  <c r="R67" i="24" s="1"/>
  <c r="H66" i="24"/>
  <c r="P65" i="24"/>
  <c r="R65" i="24" s="1"/>
  <c r="P64" i="24"/>
  <c r="R64" i="24" s="1"/>
  <c r="P57" i="24"/>
  <c r="R57" i="24" s="1"/>
  <c r="P56" i="24"/>
  <c r="R56" i="24" s="1"/>
  <c r="P55" i="24"/>
  <c r="R55" i="24" s="1"/>
  <c r="P54" i="24"/>
  <c r="R54" i="24" s="1"/>
  <c r="P53" i="24"/>
  <c r="R53" i="24" s="1"/>
  <c r="P52" i="24"/>
  <c r="R52" i="24" s="1"/>
  <c r="P50" i="24"/>
  <c r="R50" i="24" s="1"/>
  <c r="P49" i="24"/>
  <c r="R49" i="24" s="1"/>
  <c r="P48" i="24"/>
  <c r="R48" i="24" s="1"/>
  <c r="P47" i="24"/>
  <c r="R47" i="24" s="1"/>
  <c r="P46" i="24"/>
  <c r="R46" i="24" s="1"/>
  <c r="P45" i="24"/>
  <c r="R45" i="24" s="1"/>
  <c r="H44" i="24"/>
  <c r="J44" i="24" s="1"/>
  <c r="P43" i="24"/>
  <c r="R43" i="24" s="1"/>
  <c r="P42" i="24"/>
  <c r="R42" i="24" s="1"/>
  <c r="L40" i="24"/>
  <c r="N40" i="24" s="1"/>
  <c r="P39" i="24"/>
  <c r="R39" i="24" s="1"/>
  <c r="P38" i="24"/>
  <c r="R38" i="24" s="1"/>
  <c r="P37" i="24"/>
  <c r="R37" i="24" s="1"/>
  <c r="P36" i="24"/>
  <c r="R36" i="24" s="1"/>
  <c r="P35" i="24"/>
  <c r="R35" i="24" s="1"/>
  <c r="H34" i="24"/>
  <c r="P33" i="24"/>
  <c r="R33" i="24" s="1"/>
  <c r="P32" i="24"/>
  <c r="R32" i="24" s="1"/>
  <c r="P29" i="24"/>
  <c r="R29" i="24" s="1"/>
  <c r="P28" i="24"/>
  <c r="R28" i="24" s="1"/>
  <c r="P27" i="24"/>
  <c r="R27" i="24" s="1"/>
  <c r="P26" i="24"/>
  <c r="R26" i="24" s="1"/>
  <c r="P25" i="24"/>
  <c r="R25" i="24" s="1"/>
  <c r="H24" i="24"/>
  <c r="P23" i="24"/>
  <c r="R23" i="24" s="1"/>
  <c r="P22" i="24"/>
  <c r="R22" i="24" s="1"/>
  <c r="P20" i="24"/>
  <c r="R20" i="24" s="1"/>
  <c r="P19" i="24"/>
  <c r="R19" i="24" s="1"/>
  <c r="P18" i="24"/>
  <c r="R18" i="24" s="1"/>
  <c r="P17" i="24"/>
  <c r="R17" i="24" s="1"/>
  <c r="P16" i="24"/>
  <c r="R16" i="24" s="1"/>
  <c r="P15" i="24"/>
  <c r="R15" i="24" s="1"/>
  <c r="H14" i="24"/>
  <c r="P13" i="24"/>
  <c r="R13" i="24" s="1"/>
  <c r="P12" i="24"/>
  <c r="R12" i="24" s="1"/>
  <c r="P10" i="24"/>
  <c r="R10" i="24" s="1"/>
  <c r="P9" i="24"/>
  <c r="R9" i="24" s="1"/>
  <c r="P8" i="24"/>
  <c r="R8" i="24" s="1"/>
  <c r="H7" i="24"/>
  <c r="B7" i="24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P70" i="23"/>
  <c r="R70" i="23" s="1"/>
  <c r="P69" i="23"/>
  <c r="R69" i="23" s="1"/>
  <c r="P68" i="23"/>
  <c r="R68" i="23" s="1"/>
  <c r="P67" i="23"/>
  <c r="R67" i="23" s="1"/>
  <c r="L66" i="23"/>
  <c r="N66" i="23" s="1"/>
  <c r="H66" i="23"/>
  <c r="J66" i="23" s="1"/>
  <c r="P65" i="23"/>
  <c r="R65" i="23" s="1"/>
  <c r="P64" i="23"/>
  <c r="R64" i="23" s="1"/>
  <c r="P62" i="23"/>
  <c r="R62" i="23" s="1"/>
  <c r="P61" i="23"/>
  <c r="R61" i="23" s="1"/>
  <c r="P60" i="23"/>
  <c r="R60" i="23" s="1"/>
  <c r="L59" i="23"/>
  <c r="N59" i="23" s="1"/>
  <c r="P58" i="23"/>
  <c r="R58" i="23" s="1"/>
  <c r="P57" i="23"/>
  <c r="R57" i="23" s="1"/>
  <c r="H56" i="23"/>
  <c r="P55" i="23"/>
  <c r="R55" i="23" s="1"/>
  <c r="P54" i="23"/>
  <c r="R54" i="23" s="1"/>
  <c r="P53" i="23"/>
  <c r="R53" i="23" s="1"/>
  <c r="P52" i="23"/>
  <c r="R52" i="23" s="1"/>
  <c r="P51" i="23"/>
  <c r="R51" i="23" s="1"/>
  <c r="P50" i="23"/>
  <c r="R50" i="23" s="1"/>
  <c r="H49" i="23"/>
  <c r="J49" i="23" s="1"/>
  <c r="P48" i="23"/>
  <c r="R48" i="23" s="1"/>
  <c r="P47" i="23"/>
  <c r="R47" i="23" s="1"/>
  <c r="P45" i="23"/>
  <c r="R45" i="23" s="1"/>
  <c r="P44" i="23"/>
  <c r="R44" i="23" s="1"/>
  <c r="P43" i="23"/>
  <c r="R43" i="23" s="1"/>
  <c r="P42" i="23"/>
  <c r="R42" i="23" s="1"/>
  <c r="P41" i="23"/>
  <c r="R41" i="23" s="1"/>
  <c r="P40" i="23"/>
  <c r="R40" i="23" s="1"/>
  <c r="P39" i="23"/>
  <c r="R39" i="23" s="1"/>
  <c r="H38" i="23"/>
  <c r="P37" i="23"/>
  <c r="R37" i="23" s="1"/>
  <c r="P36" i="23"/>
  <c r="R36" i="23" s="1"/>
  <c r="P34" i="23"/>
  <c r="R34" i="23" s="1"/>
  <c r="P32" i="23"/>
  <c r="R32" i="23" s="1"/>
  <c r="P29" i="23"/>
  <c r="R29" i="23" s="1"/>
  <c r="P28" i="23"/>
  <c r="R28" i="23" s="1"/>
  <c r="P27" i="23"/>
  <c r="R27" i="23" s="1"/>
  <c r="L26" i="23"/>
  <c r="N26" i="23" s="1"/>
  <c r="P25" i="23"/>
  <c r="R25" i="23" s="1"/>
  <c r="P24" i="23"/>
  <c r="R24" i="23" s="1"/>
  <c r="P23" i="23"/>
  <c r="R23" i="23" s="1"/>
  <c r="L22" i="23"/>
  <c r="H22" i="23"/>
  <c r="J22" i="23" s="1"/>
  <c r="P20" i="23"/>
  <c r="R20" i="23" s="1"/>
  <c r="P19" i="23"/>
  <c r="R19" i="23" s="1"/>
  <c r="H18" i="23"/>
  <c r="J18" i="23" s="1"/>
  <c r="P17" i="23"/>
  <c r="R17" i="23" s="1"/>
  <c r="P16" i="23"/>
  <c r="R16" i="23" s="1"/>
  <c r="P15" i="23"/>
  <c r="R15" i="23" s="1"/>
  <c r="L14" i="23"/>
  <c r="N14" i="23" s="1"/>
  <c r="H14" i="23"/>
  <c r="J14" i="23" s="1"/>
  <c r="P13" i="23"/>
  <c r="R13" i="23" s="1"/>
  <c r="H12" i="23"/>
  <c r="H10" i="23"/>
  <c r="P9" i="23"/>
  <c r="R9" i="23" s="1"/>
  <c r="P8" i="23"/>
  <c r="R8" i="23" s="1"/>
  <c r="L7" i="23"/>
  <c r="B7" i="23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P14" i="22"/>
  <c r="P13" i="22"/>
  <c r="P11" i="22"/>
  <c r="H10" i="22"/>
  <c r="P10" i="22" s="1"/>
  <c r="P9" i="22"/>
  <c r="P8" i="22"/>
  <c r="B7" i="22"/>
  <c r="B8" i="22" s="1"/>
  <c r="B9" i="22" s="1"/>
  <c r="B10" i="22" s="1"/>
  <c r="B11" i="22" s="1"/>
  <c r="B12" i="22" s="1"/>
  <c r="B13" i="22" s="1"/>
  <c r="B14" i="22" s="1"/>
  <c r="B15" i="22" s="1"/>
  <c r="L6" i="22"/>
  <c r="G7" i="15" s="1"/>
  <c r="P70" i="21"/>
  <c r="P69" i="21"/>
  <c r="P68" i="21"/>
  <c r="P67" i="21"/>
  <c r="P66" i="21"/>
  <c r="P65" i="21"/>
  <c r="P64" i="21"/>
  <c r="P63" i="21"/>
  <c r="P62" i="21"/>
  <c r="P61" i="21"/>
  <c r="H60" i="21"/>
  <c r="H59" i="21" s="1"/>
  <c r="P59" i="21" s="1"/>
  <c r="P58" i="21"/>
  <c r="P57" i="21"/>
  <c r="P56" i="21"/>
  <c r="P55" i="21"/>
  <c r="P54" i="21"/>
  <c r="P53" i="21"/>
  <c r="H52" i="21"/>
  <c r="P52" i="21" s="1"/>
  <c r="P51" i="21"/>
  <c r="P50" i="21"/>
  <c r="P49" i="21"/>
  <c r="P48" i="21"/>
  <c r="P47" i="21"/>
  <c r="P46" i="21"/>
  <c r="P43" i="21"/>
  <c r="P42" i="21"/>
  <c r="P41" i="21"/>
  <c r="P40" i="21"/>
  <c r="P39" i="21"/>
  <c r="P38" i="21"/>
  <c r="P37" i="21"/>
  <c r="L35" i="21"/>
  <c r="P34" i="21"/>
  <c r="P33" i="21"/>
  <c r="P30" i="21"/>
  <c r="P29" i="21"/>
  <c r="P28" i="21"/>
  <c r="P27" i="21"/>
  <c r="P26" i="21"/>
  <c r="L25" i="21"/>
  <c r="P24" i="21"/>
  <c r="P23" i="21"/>
  <c r="H22" i="21"/>
  <c r="P22" i="21" s="1"/>
  <c r="P21" i="21"/>
  <c r="P20" i="21"/>
  <c r="P18" i="21"/>
  <c r="H17" i="21"/>
  <c r="P17" i="21" s="1"/>
  <c r="P16" i="21"/>
  <c r="H15" i="21"/>
  <c r="P15" i="21" s="1"/>
  <c r="P14" i="21"/>
  <c r="H13" i="21"/>
  <c r="P13" i="21" s="1"/>
  <c r="P12" i="21"/>
  <c r="P11" i="21"/>
  <c r="P10" i="21"/>
  <c r="P9" i="21"/>
  <c r="P8" i="21"/>
  <c r="H7" i="21"/>
  <c r="L6" i="2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H10" i="7"/>
  <c r="J32" i="15"/>
  <c r="L32" i="15" s="1"/>
  <c r="H205" i="7"/>
  <c r="H259" i="7"/>
  <c r="H124" i="7"/>
  <c r="J124" i="7" s="1"/>
  <c r="H29" i="7"/>
  <c r="H13" i="7"/>
  <c r="H159" i="7"/>
  <c r="H170" i="7"/>
  <c r="H183" i="7"/>
  <c r="H126" i="7"/>
  <c r="J126" i="7" s="1"/>
  <c r="H129" i="7"/>
  <c r="H89" i="7"/>
  <c r="J89" i="7" s="1"/>
  <c r="H95" i="7"/>
  <c r="J95" i="7" s="1"/>
  <c r="H103" i="7"/>
  <c r="J103" i="7" s="1"/>
  <c r="H109" i="7"/>
  <c r="J109" i="7" s="1"/>
  <c r="H72" i="7"/>
  <c r="H37" i="7"/>
  <c r="H47" i="7"/>
  <c r="J47" i="7" s="1"/>
  <c r="H18" i="7"/>
  <c r="J18" i="7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5" i="15" s="1"/>
  <c r="B26" i="15" s="1"/>
  <c r="B27" i="15" s="1"/>
  <c r="B297" i="7"/>
  <c r="B321" i="7"/>
  <c r="B322" i="7" s="1"/>
  <c r="H223" i="27"/>
  <c r="P301" i="27"/>
  <c r="R301" i="27" s="1"/>
  <c r="P175" i="27"/>
  <c r="R175" i="27" s="1"/>
  <c r="P10" i="20" l="1"/>
  <c r="R10" i="20" s="1"/>
  <c r="J10" i="20"/>
  <c r="P128" i="30"/>
  <c r="R128" i="30" s="1"/>
  <c r="J128" i="30"/>
  <c r="P11" i="30"/>
  <c r="R11" i="30" s="1"/>
  <c r="J11" i="30"/>
  <c r="P65" i="30"/>
  <c r="R65" i="30" s="1"/>
  <c r="J65" i="30"/>
  <c r="H87" i="30"/>
  <c r="P87" i="30" s="1"/>
  <c r="R87" i="30" s="1"/>
  <c r="J90" i="30"/>
  <c r="H106" i="30"/>
  <c r="J109" i="30"/>
  <c r="H43" i="30"/>
  <c r="J43" i="30" s="1"/>
  <c r="J44" i="30"/>
  <c r="P17" i="30"/>
  <c r="R17" i="30" s="1"/>
  <c r="J17" i="30"/>
  <c r="P37" i="30"/>
  <c r="R37" i="30" s="1"/>
  <c r="J37" i="30"/>
  <c r="H134" i="30"/>
  <c r="J134" i="30" s="1"/>
  <c r="J137" i="30"/>
  <c r="B10" i="33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P69" i="31"/>
  <c r="R69" i="31" s="1"/>
  <c r="J69" i="31"/>
  <c r="P20" i="31"/>
  <c r="R20" i="31" s="1"/>
  <c r="J20" i="31"/>
  <c r="P52" i="31"/>
  <c r="R52" i="31" s="1"/>
  <c r="J52" i="31"/>
  <c r="P35" i="31"/>
  <c r="R35" i="31" s="1"/>
  <c r="J35" i="31"/>
  <c r="J711" i="27"/>
  <c r="H710" i="27"/>
  <c r="P9" i="25"/>
  <c r="R9" i="25" s="1"/>
  <c r="J9" i="25"/>
  <c r="H11" i="24"/>
  <c r="J14" i="24"/>
  <c r="P24" i="24"/>
  <c r="R24" i="24" s="1"/>
  <c r="J24" i="24"/>
  <c r="P34" i="24"/>
  <c r="R34" i="24" s="1"/>
  <c r="J34" i="24"/>
  <c r="P66" i="24"/>
  <c r="R66" i="24" s="1"/>
  <c r="J66" i="24"/>
  <c r="P7" i="24"/>
  <c r="R7" i="24" s="1"/>
  <c r="J7" i="24"/>
  <c r="P10" i="23"/>
  <c r="R10" i="23" s="1"/>
  <c r="J10" i="23"/>
  <c r="P38" i="23"/>
  <c r="R38" i="23" s="1"/>
  <c r="J38" i="23"/>
  <c r="P12" i="23"/>
  <c r="R12" i="23" s="1"/>
  <c r="J12" i="23"/>
  <c r="P56" i="23"/>
  <c r="R56" i="23" s="1"/>
  <c r="J56" i="23"/>
  <c r="H128" i="7"/>
  <c r="J128" i="7" s="1"/>
  <c r="J129" i="7"/>
  <c r="H158" i="7"/>
  <c r="J158" i="7" s="1"/>
  <c r="J159" i="7"/>
  <c r="H204" i="7"/>
  <c r="J204" i="7" s="1"/>
  <c r="J205" i="7"/>
  <c r="H36" i="7"/>
  <c r="J36" i="7" s="1"/>
  <c r="J37" i="7"/>
  <c r="H182" i="7"/>
  <c r="J182" i="7" s="1"/>
  <c r="J183" i="7"/>
  <c r="H27" i="7"/>
  <c r="J29" i="7"/>
  <c r="H251" i="7"/>
  <c r="J259" i="7"/>
  <c r="H12" i="7"/>
  <c r="J12" i="7" s="1"/>
  <c r="J13" i="7"/>
  <c r="H71" i="7"/>
  <c r="J71" i="7" s="1"/>
  <c r="J72" i="7"/>
  <c r="H169" i="7"/>
  <c r="J169" i="7" s="1"/>
  <c r="J170" i="7"/>
  <c r="H9" i="7"/>
  <c r="J9" i="7" s="1"/>
  <c r="J10" i="7"/>
  <c r="P75" i="34"/>
  <c r="R75" i="34" s="1"/>
  <c r="J75" i="34"/>
  <c r="P80" i="34"/>
  <c r="R80" i="34" s="1"/>
  <c r="J80" i="34"/>
  <c r="L43" i="34"/>
  <c r="N43" i="34" s="1"/>
  <c r="N51" i="34"/>
  <c r="P68" i="34"/>
  <c r="R68" i="34" s="1"/>
  <c r="J68" i="34"/>
  <c r="P77" i="34"/>
  <c r="R77" i="34" s="1"/>
  <c r="J77" i="34"/>
  <c r="P81" i="34"/>
  <c r="R81" i="34" s="1"/>
  <c r="J81" i="34"/>
  <c r="P545" i="27"/>
  <c r="R545" i="27" s="1"/>
  <c r="J545" i="27"/>
  <c r="P651" i="27"/>
  <c r="R651" i="27" s="1"/>
  <c r="J651" i="27"/>
  <c r="P664" i="27"/>
  <c r="R664" i="27" s="1"/>
  <c r="J664" i="27"/>
  <c r="P675" i="27"/>
  <c r="R675" i="27" s="1"/>
  <c r="J675" i="27"/>
  <c r="P721" i="27"/>
  <c r="R721" i="27" s="1"/>
  <c r="J721" i="27"/>
  <c r="P732" i="27"/>
  <c r="R732" i="27" s="1"/>
  <c r="J732" i="27"/>
  <c r="P91" i="27"/>
  <c r="R91" i="27" s="1"/>
  <c r="J91" i="27"/>
  <c r="P101" i="27"/>
  <c r="R101" i="27" s="1"/>
  <c r="J101" i="27"/>
  <c r="P158" i="27"/>
  <c r="R158" i="27" s="1"/>
  <c r="J158" i="27"/>
  <c r="P189" i="27"/>
  <c r="R189" i="27" s="1"/>
  <c r="J189" i="27"/>
  <c r="P416" i="27"/>
  <c r="R416" i="27" s="1"/>
  <c r="J416" i="27"/>
  <c r="P439" i="27"/>
  <c r="R439" i="27" s="1"/>
  <c r="J439" i="27"/>
  <c r="P453" i="27"/>
  <c r="R453" i="27" s="1"/>
  <c r="J453" i="27"/>
  <c r="P478" i="27"/>
  <c r="R478" i="27" s="1"/>
  <c r="J478" i="27"/>
  <c r="P504" i="27"/>
  <c r="R504" i="27" s="1"/>
  <c r="J504" i="27"/>
  <c r="P527" i="27"/>
  <c r="R527" i="27" s="1"/>
  <c r="J527" i="27"/>
  <c r="P606" i="27"/>
  <c r="R606" i="27" s="1"/>
  <c r="J606" i="27"/>
  <c r="P652" i="27"/>
  <c r="R652" i="27" s="1"/>
  <c r="J652" i="27"/>
  <c r="P712" i="27"/>
  <c r="R712" i="27" s="1"/>
  <c r="J712" i="27"/>
  <c r="P742" i="27"/>
  <c r="R742" i="27" s="1"/>
  <c r="J742" i="27"/>
  <c r="P400" i="27"/>
  <c r="R400" i="27" s="1"/>
  <c r="J400" i="27"/>
  <c r="P40" i="27"/>
  <c r="R40" i="27" s="1"/>
  <c r="J40" i="27"/>
  <c r="H316" i="27"/>
  <c r="J316" i="27" s="1"/>
  <c r="J319" i="27"/>
  <c r="H375" i="27"/>
  <c r="J375" i="27" s="1"/>
  <c r="J378" i="27"/>
  <c r="P407" i="27"/>
  <c r="R407" i="27" s="1"/>
  <c r="J407" i="27"/>
  <c r="P431" i="27"/>
  <c r="R431" i="27" s="1"/>
  <c r="J431" i="27"/>
  <c r="P445" i="27"/>
  <c r="R445" i="27" s="1"/>
  <c r="J445" i="27"/>
  <c r="P454" i="27"/>
  <c r="R454" i="27" s="1"/>
  <c r="J454" i="27"/>
  <c r="P512" i="27"/>
  <c r="R512" i="27" s="1"/>
  <c r="J512" i="27"/>
  <c r="P582" i="27"/>
  <c r="R582" i="27" s="1"/>
  <c r="J582" i="27"/>
  <c r="P635" i="27"/>
  <c r="R635" i="27" s="1"/>
  <c r="J635" i="27"/>
  <c r="P653" i="27"/>
  <c r="R653" i="27" s="1"/>
  <c r="J653" i="27"/>
  <c r="P662" i="27"/>
  <c r="R662" i="27" s="1"/>
  <c r="J662" i="27"/>
  <c r="P694" i="27"/>
  <c r="R694" i="27" s="1"/>
  <c r="J694" i="27"/>
  <c r="P713" i="27"/>
  <c r="R713" i="27" s="1"/>
  <c r="J713" i="27"/>
  <c r="H763" i="27"/>
  <c r="J763" i="27" s="1"/>
  <c r="J766" i="27"/>
  <c r="J776" i="27"/>
  <c r="P21" i="27"/>
  <c r="R21" i="27" s="1"/>
  <c r="J21" i="27"/>
  <c r="P59" i="27"/>
  <c r="R59" i="27" s="1"/>
  <c r="J59" i="27"/>
  <c r="P157" i="27"/>
  <c r="R157" i="27" s="1"/>
  <c r="J157" i="27"/>
  <c r="P216" i="27"/>
  <c r="R216" i="27" s="1"/>
  <c r="J216" i="27"/>
  <c r="P520" i="27"/>
  <c r="R520" i="27" s="1"/>
  <c r="J520" i="27"/>
  <c r="P590" i="27"/>
  <c r="R590" i="27" s="1"/>
  <c r="J590" i="27"/>
  <c r="P223" i="27"/>
  <c r="R223" i="27" s="1"/>
  <c r="J223" i="27"/>
  <c r="P69" i="27"/>
  <c r="R69" i="27" s="1"/>
  <c r="J69" i="27"/>
  <c r="P79" i="27"/>
  <c r="R79" i="27" s="1"/>
  <c r="J79" i="27"/>
  <c r="P140" i="27"/>
  <c r="R140" i="27" s="1"/>
  <c r="J140" i="27"/>
  <c r="H277" i="27"/>
  <c r="J277" i="27" s="1"/>
  <c r="J280" i="27"/>
  <c r="P408" i="27"/>
  <c r="R408" i="27" s="1"/>
  <c r="J408" i="27"/>
  <c r="P432" i="27"/>
  <c r="R432" i="27" s="1"/>
  <c r="J432" i="27"/>
  <c r="P446" i="27"/>
  <c r="R446" i="27" s="1"/>
  <c r="J446" i="27"/>
  <c r="P467" i="27"/>
  <c r="R467" i="27" s="1"/>
  <c r="J467" i="27"/>
  <c r="P495" i="27"/>
  <c r="R495" i="27" s="1"/>
  <c r="J495" i="27"/>
  <c r="P536" i="27"/>
  <c r="R536" i="27" s="1"/>
  <c r="J536" i="27"/>
  <c r="P555" i="27"/>
  <c r="R555" i="27" s="1"/>
  <c r="J555" i="27"/>
  <c r="P564" i="27"/>
  <c r="R564" i="27" s="1"/>
  <c r="J564" i="27"/>
  <c r="P573" i="27"/>
  <c r="R573" i="27" s="1"/>
  <c r="J573" i="27"/>
  <c r="P598" i="27"/>
  <c r="R598" i="27" s="1"/>
  <c r="J598" i="27"/>
  <c r="P617" i="27"/>
  <c r="R617" i="27" s="1"/>
  <c r="J617" i="27"/>
  <c r="P626" i="27"/>
  <c r="R626" i="27" s="1"/>
  <c r="J626" i="27"/>
  <c r="P636" i="27"/>
  <c r="R636" i="27" s="1"/>
  <c r="J636" i="27"/>
  <c r="P663" i="27"/>
  <c r="R663" i="27" s="1"/>
  <c r="J663" i="27"/>
  <c r="P684" i="27"/>
  <c r="R684" i="27" s="1"/>
  <c r="J684" i="27"/>
  <c r="P750" i="27"/>
  <c r="R750" i="27" s="1"/>
  <c r="J750" i="27"/>
  <c r="P644" i="27"/>
  <c r="R644" i="27" s="1"/>
  <c r="H641" i="27"/>
  <c r="J641" i="27" s="1"/>
  <c r="P634" i="27"/>
  <c r="R634" i="27" s="1"/>
  <c r="H633" i="27"/>
  <c r="J633" i="27" s="1"/>
  <c r="H451" i="27"/>
  <c r="J451" i="27" s="1"/>
  <c r="P368" i="27"/>
  <c r="R368" i="27" s="1"/>
  <c r="H365" i="27"/>
  <c r="P424" i="27"/>
  <c r="R424" i="27" s="1"/>
  <c r="H421" i="27"/>
  <c r="P241" i="27"/>
  <c r="R241" i="27" s="1"/>
  <c r="H238" i="27"/>
  <c r="J238" i="27" s="1"/>
  <c r="P270" i="27"/>
  <c r="R270" i="27" s="1"/>
  <c r="H267" i="27"/>
  <c r="J267" i="27" s="1"/>
  <c r="H122" i="7"/>
  <c r="J122" i="7" s="1"/>
  <c r="P344" i="27"/>
  <c r="R344" i="27" s="1"/>
  <c r="H341" i="27"/>
  <c r="J341" i="27" s="1"/>
  <c r="P293" i="27"/>
  <c r="R293" i="27" s="1"/>
  <c r="H290" i="27"/>
  <c r="J290" i="27" s="1"/>
  <c r="H87" i="7"/>
  <c r="B27" i="30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P31" i="27"/>
  <c r="R31" i="27" s="1"/>
  <c r="H28" i="27"/>
  <c r="P131" i="27"/>
  <c r="R131" i="27" s="1"/>
  <c r="H128" i="27"/>
  <c r="B18" i="25"/>
  <c r="B19" i="25" s="1"/>
  <c r="B20" i="25" s="1"/>
  <c r="B21" i="25" s="1"/>
  <c r="B22" i="25" s="1"/>
  <c r="B17" i="27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P12" i="27"/>
  <c r="R12" i="27" s="1"/>
  <c r="H9" i="27"/>
  <c r="P112" i="27"/>
  <c r="R112" i="27" s="1"/>
  <c r="H109" i="27"/>
  <c r="P122" i="27"/>
  <c r="R122" i="27" s="1"/>
  <c r="H119" i="27"/>
  <c r="P23" i="30"/>
  <c r="R23" i="30" s="1"/>
  <c r="H19" i="30"/>
  <c r="P674" i="27"/>
  <c r="R674" i="27" s="1"/>
  <c r="H672" i="27"/>
  <c r="J672" i="27" s="1"/>
  <c r="H51" i="7"/>
  <c r="P683" i="27"/>
  <c r="R683" i="27" s="1"/>
  <c r="H681" i="27"/>
  <c r="H75" i="30"/>
  <c r="P60" i="21"/>
  <c r="H63" i="24"/>
  <c r="J63" i="24" s="1"/>
  <c r="P90" i="30"/>
  <c r="R90" i="30" s="1"/>
  <c r="B28" i="23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P36" i="21"/>
  <c r="H35" i="21"/>
  <c r="P35" i="21" s="1"/>
  <c r="B11" i="3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P22" i="33"/>
  <c r="R22" i="33" s="1"/>
  <c r="H21" i="33"/>
  <c r="J21" i="33" s="1"/>
  <c r="H125" i="30"/>
  <c r="B298" i="7"/>
  <c r="B299" i="7" s="1"/>
  <c r="B300" i="7" s="1"/>
  <c r="B301" i="7" s="1"/>
  <c r="H66" i="31"/>
  <c r="J66" i="31" s="1"/>
  <c r="L81" i="26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P36" i="25"/>
  <c r="R36" i="25" s="1"/>
  <c r="B33" i="24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P21" i="23"/>
  <c r="R21" i="23" s="1"/>
  <c r="H31" i="24"/>
  <c r="H7" i="22"/>
  <c r="H6" i="22" s="1"/>
  <c r="D7" i="15" s="1"/>
  <c r="B25" i="26"/>
  <c r="L19" i="31"/>
  <c r="L5" i="25"/>
  <c r="P174" i="27"/>
  <c r="R174" i="27" s="1"/>
  <c r="H749" i="27"/>
  <c r="H570" i="27"/>
  <c r="P280" i="27"/>
  <c r="R280" i="27" s="1"/>
  <c r="H49" i="31"/>
  <c r="J49" i="31" s="1"/>
  <c r="P55" i="34"/>
  <c r="R55" i="34" s="1"/>
  <c r="P51" i="34"/>
  <c r="R51" i="34" s="1"/>
  <c r="H21" i="24"/>
  <c r="B32" i="15"/>
  <c r="B33" i="15" s="1"/>
  <c r="B34" i="15" s="1"/>
  <c r="B28" i="15"/>
  <c r="B29" i="15" s="1"/>
  <c r="P12" i="26"/>
  <c r="H76" i="26"/>
  <c r="L8" i="27"/>
  <c r="P66" i="23"/>
  <c r="R66" i="23" s="1"/>
  <c r="P33" i="25"/>
  <c r="R33" i="25" s="1"/>
  <c r="P14" i="20"/>
  <c r="R14" i="20" s="1"/>
  <c r="P116" i="30"/>
  <c r="R116" i="30" s="1"/>
  <c r="P76" i="30"/>
  <c r="R76" i="30" s="1"/>
  <c r="P776" i="27"/>
  <c r="R776" i="27" s="1"/>
  <c r="H7" i="7"/>
  <c r="P30" i="26"/>
  <c r="L76" i="26"/>
  <c r="P62" i="34"/>
  <c r="R62" i="34" s="1"/>
  <c r="H213" i="27"/>
  <c r="P319" i="27"/>
  <c r="R319" i="27" s="1"/>
  <c r="H405" i="27"/>
  <c r="P641" i="27"/>
  <c r="R641" i="27" s="1"/>
  <c r="H718" i="27"/>
  <c r="P25" i="21"/>
  <c r="H19" i="21"/>
  <c r="P19" i="21" s="1"/>
  <c r="H65" i="34"/>
  <c r="J65" i="34" s="1"/>
  <c r="H32" i="31"/>
  <c r="J32" i="31" s="1"/>
  <c r="P766" i="27"/>
  <c r="R766" i="27" s="1"/>
  <c r="P178" i="27"/>
  <c r="R178" i="27" s="1"/>
  <c r="H561" i="27"/>
  <c r="P7" i="21"/>
  <c r="P20" i="25"/>
  <c r="R20" i="25" s="1"/>
  <c r="H413" i="27"/>
  <c r="H509" i="27"/>
  <c r="H9" i="20"/>
  <c r="P351" i="27"/>
  <c r="R351" i="27" s="1"/>
  <c r="H326" i="27"/>
  <c r="H739" i="27"/>
  <c r="P720" i="27"/>
  <c r="R720" i="27" s="1"/>
  <c r="H62" i="30"/>
  <c r="H37" i="27"/>
  <c r="H6" i="25"/>
  <c r="H475" i="27"/>
  <c r="H501" i="27"/>
  <c r="H88" i="27"/>
  <c r="J31" i="15"/>
  <c r="H729" i="27"/>
  <c r="P45" i="34"/>
  <c r="R45" i="34" s="1"/>
  <c r="H661" i="27"/>
  <c r="H397" i="27"/>
  <c r="H59" i="23"/>
  <c r="P36" i="33"/>
  <c r="R36" i="33" s="1"/>
  <c r="P137" i="30"/>
  <c r="R137" i="30" s="1"/>
  <c r="H56" i="27"/>
  <c r="P134" i="30"/>
  <c r="R134" i="30" s="1"/>
  <c r="H133" i="30"/>
  <c r="H8" i="30"/>
  <c r="H34" i="30"/>
  <c r="P109" i="30"/>
  <c r="R109" i="30" s="1"/>
  <c r="P316" i="27"/>
  <c r="R316" i="27" s="1"/>
  <c r="H46" i="27"/>
  <c r="H614" i="27"/>
  <c r="P414" i="27"/>
  <c r="R414" i="27" s="1"/>
  <c r="H197" i="27"/>
  <c r="P290" i="27"/>
  <c r="R290" i="27" s="1"/>
  <c r="H691" i="27"/>
  <c r="H517" i="27"/>
  <c r="H98" i="27"/>
  <c r="H650" i="27"/>
  <c r="H595" i="27"/>
  <c r="H76" i="27"/>
  <c r="P781" i="27"/>
  <c r="R781" i="27" s="1"/>
  <c r="L491" i="27"/>
  <c r="N491" i="27" s="1"/>
  <c r="P14" i="24"/>
  <c r="R14" i="24" s="1"/>
  <c r="H11" i="23"/>
  <c r="J11" i="23" s="1"/>
  <c r="P14" i="23"/>
  <c r="R14" i="23" s="1"/>
  <c r="H186" i="27"/>
  <c r="J186" i="27" s="1"/>
  <c r="P187" i="27"/>
  <c r="R187" i="27" s="1"/>
  <c r="P452" i="27"/>
  <c r="R452" i="27" s="1"/>
  <c r="H105" i="30"/>
  <c r="H35" i="23"/>
  <c r="J35" i="23" s="1"/>
  <c r="P151" i="27"/>
  <c r="R151" i="27" s="1"/>
  <c r="H150" i="27"/>
  <c r="J150" i="27" s="1"/>
  <c r="P303" i="27"/>
  <c r="R303" i="27" s="1"/>
  <c r="P378" i="27"/>
  <c r="R378" i="27" s="1"/>
  <c r="H390" i="27"/>
  <c r="P393" i="27"/>
  <c r="R393" i="27" s="1"/>
  <c r="P444" i="27"/>
  <c r="R444" i="27" s="1"/>
  <c r="H443" i="27"/>
  <c r="P673" i="27"/>
  <c r="R673" i="27" s="1"/>
  <c r="P711" i="27"/>
  <c r="R711" i="27" s="1"/>
  <c r="P37" i="33"/>
  <c r="R37" i="33" s="1"/>
  <c r="L9" i="20"/>
  <c r="P44" i="30"/>
  <c r="R44" i="30" s="1"/>
  <c r="P44" i="24"/>
  <c r="R44" i="24" s="1"/>
  <c r="H41" i="24"/>
  <c r="P51" i="24"/>
  <c r="R51" i="24" s="1"/>
  <c r="H7" i="26"/>
  <c r="P7" i="26" s="1"/>
  <c r="P9" i="26"/>
  <c r="P159" i="27"/>
  <c r="R159" i="27" s="1"/>
  <c r="H156" i="27"/>
  <c r="J156" i="27" s="1"/>
  <c r="P465" i="27"/>
  <c r="R465" i="27" s="1"/>
  <c r="H464" i="27"/>
  <c r="J464" i="27" s="1"/>
  <c r="P588" i="27"/>
  <c r="R588" i="27" s="1"/>
  <c r="H587" i="27"/>
  <c r="P12" i="34"/>
  <c r="R12" i="34" s="1"/>
  <c r="H9" i="34"/>
  <c r="J9" i="34" s="1"/>
  <c r="P57" i="27"/>
  <c r="R57" i="27" s="1"/>
  <c r="P29" i="25"/>
  <c r="R29" i="25" s="1"/>
  <c r="H27" i="25"/>
  <c r="J27" i="25" s="1"/>
  <c r="P20" i="27"/>
  <c r="R20" i="27" s="1"/>
  <c r="H18" i="27"/>
  <c r="P138" i="27"/>
  <c r="R138" i="27" s="1"/>
  <c r="H137" i="27"/>
  <c r="P535" i="27"/>
  <c r="R535" i="27" s="1"/>
  <c r="H533" i="27"/>
  <c r="P544" i="27"/>
  <c r="R544" i="27" s="1"/>
  <c r="H542" i="27"/>
  <c r="P553" i="27"/>
  <c r="R553" i="27" s="1"/>
  <c r="H552" i="27"/>
  <c r="P703" i="27"/>
  <c r="R703" i="27" s="1"/>
  <c r="H700" i="27"/>
  <c r="P74" i="34"/>
  <c r="R74" i="34" s="1"/>
  <c r="P79" i="34"/>
  <c r="R79" i="34" s="1"/>
  <c r="H76" i="34"/>
  <c r="P11" i="27"/>
  <c r="R11" i="27" s="1"/>
  <c r="P67" i="27"/>
  <c r="R67" i="27" s="1"/>
  <c r="H66" i="27"/>
  <c r="P253" i="27"/>
  <c r="R253" i="27" s="1"/>
  <c r="P430" i="27"/>
  <c r="R430" i="27" s="1"/>
  <c r="H429" i="27"/>
  <c r="P493" i="27"/>
  <c r="R493" i="27" s="1"/>
  <c r="H492" i="27"/>
  <c r="H603" i="27"/>
  <c r="P604" i="27"/>
  <c r="R604" i="27" s="1"/>
  <c r="P9" i="33"/>
  <c r="R9" i="33" s="1"/>
  <c r="P7" i="33"/>
  <c r="R7" i="33" s="1"/>
  <c r="L6" i="24"/>
  <c r="P39" i="25"/>
  <c r="R39" i="25" s="1"/>
  <c r="L7" i="34"/>
  <c r="L5" i="21"/>
  <c r="G6" i="15" s="1"/>
  <c r="L18" i="23"/>
  <c r="P510" i="27"/>
  <c r="R510" i="27" s="1"/>
  <c r="H623" i="27"/>
  <c r="J623" i="27" s="1"/>
  <c r="P23" i="31"/>
  <c r="R23" i="31" s="1"/>
  <c r="P12" i="22"/>
  <c r="P22" i="23"/>
  <c r="R22" i="23" s="1"/>
  <c r="H579" i="27"/>
  <c r="P19" i="20"/>
  <c r="R19" i="20" s="1"/>
  <c r="H157" i="7"/>
  <c r="H41" i="25"/>
  <c r="J41" i="25" s="1"/>
  <c r="H16" i="26"/>
  <c r="H11" i="26" s="1"/>
  <c r="P19" i="26"/>
  <c r="P22" i="25"/>
  <c r="R22" i="25" s="1"/>
  <c r="H7" i="23"/>
  <c r="J7" i="23" s="1"/>
  <c r="H46" i="23"/>
  <c r="P49" i="23"/>
  <c r="R49" i="23" s="1"/>
  <c r="P25" i="26"/>
  <c r="P754" i="27"/>
  <c r="R754" i="27" s="1"/>
  <c r="H753" i="27"/>
  <c r="J753" i="27" s="1"/>
  <c r="P525" i="27"/>
  <c r="R525" i="27" s="1"/>
  <c r="H524" i="27"/>
  <c r="L612" i="27"/>
  <c r="N612" i="27" s="1"/>
  <c r="P26" i="34"/>
  <c r="R26" i="34" s="1"/>
  <c r="H22" i="34"/>
  <c r="L6" i="33"/>
  <c r="H31" i="34"/>
  <c r="J31" i="34" s="1"/>
  <c r="L31" i="15" l="1"/>
  <c r="H7" i="20"/>
  <c r="J9" i="20"/>
  <c r="P105" i="30"/>
  <c r="R105" i="30" s="1"/>
  <c r="J105" i="30"/>
  <c r="P133" i="30"/>
  <c r="R133" i="30" s="1"/>
  <c r="J133" i="30"/>
  <c r="H86" i="30"/>
  <c r="J87" i="30"/>
  <c r="P125" i="30"/>
  <c r="R125" i="30" s="1"/>
  <c r="J125" i="30"/>
  <c r="P75" i="30"/>
  <c r="R75" i="30" s="1"/>
  <c r="J75" i="30"/>
  <c r="H61" i="30"/>
  <c r="J62" i="30"/>
  <c r="P19" i="30"/>
  <c r="R19" i="30" s="1"/>
  <c r="J19" i="30"/>
  <c r="P34" i="30"/>
  <c r="R34" i="30" s="1"/>
  <c r="J34" i="30"/>
  <c r="P8" i="30"/>
  <c r="R8" i="30" s="1"/>
  <c r="J8" i="30"/>
  <c r="P106" i="30"/>
  <c r="R106" i="30" s="1"/>
  <c r="J106" i="30"/>
  <c r="G14" i="15"/>
  <c r="I14" i="15" s="1"/>
  <c r="N6" i="33"/>
  <c r="L5" i="31"/>
  <c r="N19" i="31"/>
  <c r="P451" i="27"/>
  <c r="R451" i="27" s="1"/>
  <c r="P267" i="27"/>
  <c r="R267" i="27" s="1"/>
  <c r="P763" i="27"/>
  <c r="R763" i="27" s="1"/>
  <c r="P277" i="27"/>
  <c r="R277" i="27" s="1"/>
  <c r="G10" i="15"/>
  <c r="N5" i="25"/>
  <c r="P6" i="25"/>
  <c r="R6" i="25" s="1"/>
  <c r="J6" i="25"/>
  <c r="J21" i="24"/>
  <c r="P41" i="24"/>
  <c r="R41" i="24" s="1"/>
  <c r="J41" i="24"/>
  <c r="G9" i="15"/>
  <c r="N6" i="24"/>
  <c r="P31" i="24"/>
  <c r="R31" i="24" s="1"/>
  <c r="J31" i="24"/>
  <c r="P11" i="24"/>
  <c r="R11" i="24" s="1"/>
  <c r="J11" i="24"/>
  <c r="P46" i="23"/>
  <c r="R46" i="23" s="1"/>
  <c r="J46" i="23"/>
  <c r="L11" i="23"/>
  <c r="N11" i="23" s="1"/>
  <c r="N18" i="23"/>
  <c r="P59" i="23"/>
  <c r="R59" i="23" s="1"/>
  <c r="J59" i="23"/>
  <c r="H26" i="7"/>
  <c r="J26" i="7" s="1"/>
  <c r="J27" i="7"/>
  <c r="J51" i="7"/>
  <c r="J157" i="7"/>
  <c r="J7" i="7"/>
  <c r="J87" i="7"/>
  <c r="J251" i="7"/>
  <c r="I6" i="15"/>
  <c r="I10" i="15"/>
  <c r="F7" i="15"/>
  <c r="G15" i="15"/>
  <c r="N7" i="34"/>
  <c r="P76" i="34"/>
  <c r="R76" i="34" s="1"/>
  <c r="J76" i="34"/>
  <c r="H20" i="34"/>
  <c r="J22" i="34"/>
  <c r="P238" i="27"/>
  <c r="R238" i="27" s="1"/>
  <c r="P390" i="27"/>
  <c r="R390" i="27" s="1"/>
  <c r="J390" i="27"/>
  <c r="P76" i="27"/>
  <c r="R76" i="27" s="1"/>
  <c r="J76" i="27"/>
  <c r="P37" i="27"/>
  <c r="R37" i="27" s="1"/>
  <c r="J37" i="27"/>
  <c r="P603" i="27"/>
  <c r="R603" i="27" s="1"/>
  <c r="J603" i="27"/>
  <c r="P700" i="27"/>
  <c r="R700" i="27" s="1"/>
  <c r="J700" i="27"/>
  <c r="P542" i="27"/>
  <c r="R542" i="27" s="1"/>
  <c r="J542" i="27"/>
  <c r="P137" i="27"/>
  <c r="R137" i="27" s="1"/>
  <c r="J137" i="27"/>
  <c r="P443" i="27"/>
  <c r="R443" i="27" s="1"/>
  <c r="J443" i="27"/>
  <c r="P595" i="27"/>
  <c r="R595" i="27" s="1"/>
  <c r="J595" i="27"/>
  <c r="P691" i="27"/>
  <c r="R691" i="27" s="1"/>
  <c r="J691" i="27"/>
  <c r="P614" i="27"/>
  <c r="R614" i="27" s="1"/>
  <c r="J614" i="27"/>
  <c r="P501" i="27"/>
  <c r="R501" i="27" s="1"/>
  <c r="J501" i="27"/>
  <c r="P509" i="27"/>
  <c r="R509" i="27" s="1"/>
  <c r="J509" i="27"/>
  <c r="P561" i="27"/>
  <c r="R561" i="27" s="1"/>
  <c r="J561" i="27"/>
  <c r="P718" i="27"/>
  <c r="R718" i="27" s="1"/>
  <c r="J718" i="27"/>
  <c r="P570" i="27"/>
  <c r="R570" i="27" s="1"/>
  <c r="J570" i="27"/>
  <c r="P109" i="27"/>
  <c r="R109" i="27" s="1"/>
  <c r="J109" i="27"/>
  <c r="P28" i="27"/>
  <c r="R28" i="27" s="1"/>
  <c r="J28" i="27"/>
  <c r="P365" i="27"/>
  <c r="R365" i="27" s="1"/>
  <c r="J365" i="27"/>
  <c r="P524" i="27"/>
  <c r="R524" i="27" s="1"/>
  <c r="J524" i="27"/>
  <c r="P429" i="27"/>
  <c r="R429" i="27" s="1"/>
  <c r="J429" i="27"/>
  <c r="P517" i="27"/>
  <c r="R517" i="27" s="1"/>
  <c r="J517" i="27"/>
  <c r="P88" i="27"/>
  <c r="R88" i="27" s="1"/>
  <c r="J88" i="27"/>
  <c r="P492" i="27"/>
  <c r="R492" i="27" s="1"/>
  <c r="J492" i="27"/>
  <c r="P587" i="27"/>
  <c r="R587" i="27" s="1"/>
  <c r="J587" i="27"/>
  <c r="P710" i="27"/>
  <c r="R710" i="27" s="1"/>
  <c r="J710" i="27"/>
  <c r="P650" i="27"/>
  <c r="R650" i="27" s="1"/>
  <c r="J650" i="27"/>
  <c r="P46" i="27"/>
  <c r="R46" i="27" s="1"/>
  <c r="J46" i="27"/>
  <c r="P56" i="27"/>
  <c r="R56" i="27" s="1"/>
  <c r="J56" i="27"/>
  <c r="P729" i="27"/>
  <c r="R729" i="27" s="1"/>
  <c r="J729" i="27"/>
  <c r="P475" i="27"/>
  <c r="R475" i="27" s="1"/>
  <c r="J475" i="27"/>
  <c r="P326" i="27"/>
  <c r="R326" i="27" s="1"/>
  <c r="J326" i="27"/>
  <c r="P413" i="27"/>
  <c r="R413" i="27" s="1"/>
  <c r="J413" i="27"/>
  <c r="H212" i="27"/>
  <c r="J213" i="27"/>
  <c r="P749" i="27"/>
  <c r="R749" i="27" s="1"/>
  <c r="J749" i="27"/>
  <c r="P661" i="27"/>
  <c r="R661" i="27" s="1"/>
  <c r="J661" i="27"/>
  <c r="P739" i="27"/>
  <c r="R739" i="27" s="1"/>
  <c r="J739" i="27"/>
  <c r="P579" i="27"/>
  <c r="R579" i="27" s="1"/>
  <c r="J579" i="27"/>
  <c r="P66" i="27"/>
  <c r="R66" i="27" s="1"/>
  <c r="J66" i="27"/>
  <c r="P552" i="27"/>
  <c r="R552" i="27" s="1"/>
  <c r="J552" i="27"/>
  <c r="P533" i="27"/>
  <c r="R533" i="27" s="1"/>
  <c r="J533" i="27"/>
  <c r="P18" i="27"/>
  <c r="R18" i="27" s="1"/>
  <c r="J18" i="27"/>
  <c r="P98" i="27"/>
  <c r="R98" i="27" s="1"/>
  <c r="J98" i="27"/>
  <c r="P197" i="27"/>
  <c r="R197" i="27" s="1"/>
  <c r="J197" i="27"/>
  <c r="P397" i="27"/>
  <c r="R397" i="27" s="1"/>
  <c r="J397" i="27"/>
  <c r="P436" i="27"/>
  <c r="R436" i="27" s="1"/>
  <c r="J436" i="27"/>
  <c r="P405" i="27"/>
  <c r="R405" i="27" s="1"/>
  <c r="J405" i="27"/>
  <c r="L7" i="27"/>
  <c r="N7" i="27" s="1"/>
  <c r="N8" i="27"/>
  <c r="P681" i="27"/>
  <c r="R681" i="27" s="1"/>
  <c r="J681" i="27"/>
  <c r="P119" i="27"/>
  <c r="R119" i="27" s="1"/>
  <c r="J119" i="27"/>
  <c r="P9" i="27"/>
  <c r="R9" i="27" s="1"/>
  <c r="J9" i="27"/>
  <c r="P128" i="27"/>
  <c r="R128" i="27" s="1"/>
  <c r="J128" i="27"/>
  <c r="P421" i="27"/>
  <c r="R421" i="27" s="1"/>
  <c r="J421" i="27"/>
  <c r="B55" i="34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P63" i="24"/>
  <c r="R63" i="24" s="1"/>
  <c r="P66" i="31"/>
  <c r="R66" i="31" s="1"/>
  <c r="B34" i="27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H62" i="24"/>
  <c r="B32" i="3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P6" i="22"/>
  <c r="P7" i="22"/>
  <c r="H124" i="30"/>
  <c r="P18" i="23"/>
  <c r="R18" i="23" s="1"/>
  <c r="H42" i="30"/>
  <c r="J42" i="30" s="1"/>
  <c r="B56" i="30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101" i="30" s="1"/>
  <c r="B102" i="30" s="1"/>
  <c r="P21" i="24"/>
  <c r="R21" i="24" s="1"/>
  <c r="B26" i="26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H7" i="30"/>
  <c r="H65" i="31"/>
  <c r="P49" i="31"/>
  <c r="R49" i="31" s="1"/>
  <c r="H30" i="24"/>
  <c r="B47" i="7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H321" i="7"/>
  <c r="J321" i="7" s="1"/>
  <c r="P9" i="20"/>
  <c r="R9" i="20" s="1"/>
  <c r="P62" i="30"/>
  <c r="R62" i="30" s="1"/>
  <c r="H47" i="31"/>
  <c r="P213" i="27"/>
  <c r="R213" i="27" s="1"/>
  <c r="H33" i="30"/>
  <c r="H266" i="27"/>
  <c r="H649" i="27"/>
  <c r="J649" i="27" s="1"/>
  <c r="B35" i="15"/>
  <c r="B36" i="15" s="1"/>
  <c r="B37" i="15" s="1"/>
  <c r="H6" i="21"/>
  <c r="B44" i="33"/>
  <c r="B45" i="33" s="1"/>
  <c r="B46" i="33" s="1"/>
  <c r="B47" i="33" s="1"/>
  <c r="B48" i="33" s="1"/>
  <c r="B49" i="33" s="1"/>
  <c r="B50" i="33" s="1"/>
  <c r="B51" i="33" s="1"/>
  <c r="H40" i="24"/>
  <c r="P32" i="31"/>
  <c r="R32" i="31" s="1"/>
  <c r="H31" i="31"/>
  <c r="P22" i="34"/>
  <c r="R22" i="34" s="1"/>
  <c r="H64" i="34"/>
  <c r="P65" i="34"/>
  <c r="R65" i="34" s="1"/>
  <c r="H24" i="7"/>
  <c r="H340" i="27"/>
  <c r="P341" i="27"/>
  <c r="R341" i="27" s="1"/>
  <c r="H315" i="27"/>
  <c r="J315" i="27" s="1"/>
  <c r="L6" i="26"/>
  <c r="G11" i="15" s="1"/>
  <c r="H728" i="27"/>
  <c r="H43" i="34"/>
  <c r="P44" i="34"/>
  <c r="R44" i="34" s="1"/>
  <c r="P633" i="27"/>
  <c r="R633" i="27" s="1"/>
  <c r="H632" i="27"/>
  <c r="P43" i="30"/>
  <c r="R43" i="30" s="1"/>
  <c r="H762" i="27"/>
  <c r="H709" i="27"/>
  <c r="L490" i="27"/>
  <c r="P27" i="26"/>
  <c r="P11" i="23"/>
  <c r="R11" i="23" s="1"/>
  <c r="L6" i="23"/>
  <c r="H690" i="27"/>
  <c r="J690" i="27" s="1"/>
  <c r="P464" i="27"/>
  <c r="R464" i="27" s="1"/>
  <c r="P150" i="27"/>
  <c r="R150" i="27" s="1"/>
  <c r="H147" i="27"/>
  <c r="H185" i="27"/>
  <c r="J185" i="27" s="1"/>
  <c r="P186" i="27"/>
  <c r="R186" i="27" s="1"/>
  <c r="L7" i="20"/>
  <c r="G17" i="15" s="1"/>
  <c r="P76" i="26"/>
  <c r="P623" i="27"/>
  <c r="R623" i="27" s="1"/>
  <c r="H613" i="27"/>
  <c r="J613" i="27" s="1"/>
  <c r="H237" i="27"/>
  <c r="J237" i="27" s="1"/>
  <c r="P250" i="27"/>
  <c r="R250" i="27" s="1"/>
  <c r="H73" i="34"/>
  <c r="J73" i="34" s="1"/>
  <c r="P375" i="27"/>
  <c r="R375" i="27" s="1"/>
  <c r="H364" i="27"/>
  <c r="H24" i="25"/>
  <c r="J24" i="25" s="1"/>
  <c r="P27" i="25"/>
  <c r="R27" i="25" s="1"/>
  <c r="P9" i="34"/>
  <c r="R9" i="34" s="1"/>
  <c r="J7" i="15"/>
  <c r="L7" i="15" s="1"/>
  <c r="P41" i="25"/>
  <c r="R41" i="25" s="1"/>
  <c r="H389" i="27"/>
  <c r="P156" i="27"/>
  <c r="R156" i="27" s="1"/>
  <c r="P672" i="27"/>
  <c r="R672" i="27" s="1"/>
  <c r="H671" i="27"/>
  <c r="J671" i="27" s="1"/>
  <c r="H289" i="27"/>
  <c r="P300" i="27"/>
  <c r="R300" i="27" s="1"/>
  <c r="H26" i="23"/>
  <c r="P35" i="23"/>
  <c r="R35" i="23" s="1"/>
  <c r="P21" i="33"/>
  <c r="R21" i="33" s="1"/>
  <c r="H6" i="33"/>
  <c r="J6" i="33" s="1"/>
  <c r="H77" i="26"/>
  <c r="P16" i="26"/>
  <c r="P753" i="27"/>
  <c r="R753" i="27" s="1"/>
  <c r="H748" i="27"/>
  <c r="J748" i="27" s="1"/>
  <c r="H491" i="27"/>
  <c r="J491" i="27" s="1"/>
  <c r="B57" i="2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P7" i="23"/>
  <c r="R7" i="23" s="1"/>
  <c r="P31" i="34"/>
  <c r="R31" i="34" s="1"/>
  <c r="H28" i="34"/>
  <c r="I9" i="15" l="1"/>
  <c r="D17" i="15"/>
  <c r="J7" i="20"/>
  <c r="P33" i="30"/>
  <c r="R33" i="30" s="1"/>
  <c r="J33" i="30"/>
  <c r="P124" i="30"/>
  <c r="R124" i="30" s="1"/>
  <c r="J124" i="30"/>
  <c r="P61" i="30"/>
  <c r="R61" i="30" s="1"/>
  <c r="J61" i="30"/>
  <c r="P7" i="30"/>
  <c r="R7" i="30" s="1"/>
  <c r="J7" i="30"/>
  <c r="J86" i="30"/>
  <c r="P86" i="30"/>
  <c r="R86" i="30" s="1"/>
  <c r="P47" i="31"/>
  <c r="R47" i="31" s="1"/>
  <c r="J47" i="31"/>
  <c r="P65" i="31"/>
  <c r="R65" i="31" s="1"/>
  <c r="J65" i="31"/>
  <c r="P31" i="31"/>
  <c r="R31" i="31" s="1"/>
  <c r="J31" i="31"/>
  <c r="G13" i="15"/>
  <c r="N5" i="31"/>
  <c r="P30" i="24"/>
  <c r="R30" i="24" s="1"/>
  <c r="J30" i="24"/>
  <c r="P62" i="24"/>
  <c r="R62" i="24" s="1"/>
  <c r="J62" i="24"/>
  <c r="P40" i="24"/>
  <c r="R40" i="24" s="1"/>
  <c r="J40" i="24"/>
  <c r="P26" i="23"/>
  <c r="R26" i="23" s="1"/>
  <c r="J26" i="23"/>
  <c r="G8" i="15"/>
  <c r="N6" i="23"/>
  <c r="H289" i="7"/>
  <c r="J289" i="7" s="1"/>
  <c r="J24" i="7"/>
  <c r="I11" i="15"/>
  <c r="I8" i="15"/>
  <c r="H8" i="34"/>
  <c r="J8" i="34" s="1"/>
  <c r="J28" i="34"/>
  <c r="J43" i="34"/>
  <c r="P64" i="34"/>
  <c r="R64" i="34" s="1"/>
  <c r="J64" i="34"/>
  <c r="P20" i="34"/>
  <c r="R20" i="34" s="1"/>
  <c r="J20" i="34"/>
  <c r="I15" i="15"/>
  <c r="P289" i="27"/>
  <c r="R289" i="27" s="1"/>
  <c r="J289" i="27"/>
  <c r="P709" i="27"/>
  <c r="R709" i="27" s="1"/>
  <c r="J709" i="27"/>
  <c r="P364" i="27"/>
  <c r="R364" i="27" s="1"/>
  <c r="J364" i="27"/>
  <c r="P147" i="27"/>
  <c r="R147" i="27" s="1"/>
  <c r="J147" i="27"/>
  <c r="P762" i="27"/>
  <c r="R762" i="27" s="1"/>
  <c r="J762" i="27"/>
  <c r="P728" i="27"/>
  <c r="R728" i="27" s="1"/>
  <c r="J728" i="27"/>
  <c r="P340" i="27"/>
  <c r="R340" i="27" s="1"/>
  <c r="J340" i="27"/>
  <c r="P212" i="27"/>
  <c r="R212" i="27" s="1"/>
  <c r="J212" i="27"/>
  <c r="P266" i="27"/>
  <c r="R266" i="27" s="1"/>
  <c r="J266" i="27"/>
  <c r="P389" i="27"/>
  <c r="R389" i="27" s="1"/>
  <c r="J389" i="27"/>
  <c r="L6" i="27"/>
  <c r="N6" i="27" s="1"/>
  <c r="N490" i="27"/>
  <c r="P632" i="27"/>
  <c r="R632" i="27" s="1"/>
  <c r="J632" i="27"/>
  <c r="P315" i="27"/>
  <c r="R315" i="27" s="1"/>
  <c r="H173" i="27"/>
  <c r="P6" i="21"/>
  <c r="B55" i="26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6" i="27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99" i="7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03" i="30"/>
  <c r="B104" i="30" s="1"/>
  <c r="B105" i="30" s="1"/>
  <c r="B106" i="30" s="1"/>
  <c r="B107" i="30" s="1"/>
  <c r="B108" i="30" s="1"/>
  <c r="B109" i="30" s="1"/>
  <c r="B110" i="30" s="1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B124" i="30" s="1"/>
  <c r="B125" i="30" s="1"/>
  <c r="B126" i="30" s="1"/>
  <c r="B127" i="30" s="1"/>
  <c r="B128" i="30" s="1"/>
  <c r="B129" i="30" s="1"/>
  <c r="B130" i="30" s="1"/>
  <c r="B131" i="30" s="1"/>
  <c r="B132" i="30" s="1"/>
  <c r="B133" i="30" s="1"/>
  <c r="B134" i="30" s="1"/>
  <c r="B135" i="30" s="1"/>
  <c r="B136" i="30" s="1"/>
  <c r="B137" i="30" s="1"/>
  <c r="B138" i="30" s="1"/>
  <c r="B139" i="30" s="1"/>
  <c r="B140" i="30" s="1"/>
  <c r="B141" i="30" s="1"/>
  <c r="B142" i="30" s="1"/>
  <c r="B143" i="30" s="1"/>
  <c r="B144" i="30" s="1"/>
  <c r="G3" i="15"/>
  <c r="H5" i="21"/>
  <c r="P5" i="21" s="1"/>
  <c r="H6" i="24"/>
  <c r="B44" i="15"/>
  <c r="B38" i="15"/>
  <c r="B39" i="15" s="1"/>
  <c r="B40" i="15" s="1"/>
  <c r="B41" i="15" s="1"/>
  <c r="B42" i="15" s="1"/>
  <c r="B43" i="15" s="1"/>
  <c r="P649" i="27"/>
  <c r="R649" i="27" s="1"/>
  <c r="B63" i="24"/>
  <c r="B64" i="24" s="1"/>
  <c r="B65" i="24" s="1"/>
  <c r="B66" i="24" s="1"/>
  <c r="B67" i="24" s="1"/>
  <c r="B68" i="24" s="1"/>
  <c r="B69" i="24" s="1"/>
  <c r="B70" i="24" s="1"/>
  <c r="B71" i="24" s="1"/>
  <c r="H19" i="31"/>
  <c r="P43" i="34"/>
  <c r="R43" i="34" s="1"/>
  <c r="H6" i="23"/>
  <c r="P7" i="20"/>
  <c r="R7" i="20" s="1"/>
  <c r="G12" i="15"/>
  <c r="P73" i="34"/>
  <c r="R73" i="34" s="1"/>
  <c r="H72" i="34"/>
  <c r="P613" i="27"/>
  <c r="R613" i="27" s="1"/>
  <c r="P690" i="27"/>
  <c r="R690" i="27" s="1"/>
  <c r="P77" i="26"/>
  <c r="P671" i="27"/>
  <c r="R671" i="27" s="1"/>
  <c r="P24" i="25"/>
  <c r="R24" i="25" s="1"/>
  <c r="H19" i="25"/>
  <c r="J19" i="25" s="1"/>
  <c r="P237" i="27"/>
  <c r="R237" i="27" s="1"/>
  <c r="P185" i="27"/>
  <c r="R185" i="27" s="1"/>
  <c r="H8" i="27"/>
  <c r="P491" i="27"/>
  <c r="R491" i="27" s="1"/>
  <c r="P6" i="33"/>
  <c r="R6" i="33" s="1"/>
  <c r="D14" i="15"/>
  <c r="P748" i="27"/>
  <c r="R748" i="27" s="1"/>
  <c r="P11" i="26"/>
  <c r="H6" i="26"/>
  <c r="H320" i="7"/>
  <c r="J17" i="15"/>
  <c r="L17" i="15" s="1"/>
  <c r="P42" i="30"/>
  <c r="R42" i="30" s="1"/>
  <c r="H6" i="30"/>
  <c r="J6" i="30" s="1"/>
  <c r="H612" i="27"/>
  <c r="P28" i="34"/>
  <c r="R28" i="34" s="1"/>
  <c r="F17" i="15" l="1"/>
  <c r="P19" i="31"/>
  <c r="R19" i="31" s="1"/>
  <c r="J19" i="31"/>
  <c r="I13" i="15"/>
  <c r="D9" i="15"/>
  <c r="J6" i="24"/>
  <c r="D8" i="15"/>
  <c r="J6" i="23"/>
  <c r="D3" i="15"/>
  <c r="H322" i="7"/>
  <c r="J322" i="7" s="1"/>
  <c r="J320" i="7"/>
  <c r="F9" i="15"/>
  <c r="I3" i="15"/>
  <c r="I12" i="15"/>
  <c r="F14" i="15"/>
  <c r="F8" i="15"/>
  <c r="P72" i="34"/>
  <c r="R72" i="34" s="1"/>
  <c r="J72" i="34"/>
  <c r="P612" i="27"/>
  <c r="R612" i="27" s="1"/>
  <c r="J612" i="27"/>
  <c r="P173" i="27"/>
  <c r="R173" i="27" s="1"/>
  <c r="J173" i="27"/>
  <c r="J8" i="27"/>
  <c r="B68" i="26"/>
  <c r="B69" i="26" s="1"/>
  <c r="B70" i="26" s="1"/>
  <c r="B71" i="26" s="1"/>
  <c r="B72" i="26" s="1"/>
  <c r="B73" i="26" s="1"/>
  <c r="B74" i="26" s="1"/>
  <c r="B82" i="27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16" i="7"/>
  <c r="B117" i="7" s="1"/>
  <c r="B118" i="7" s="1"/>
  <c r="J9" i="15"/>
  <c r="L9" i="15" s="1"/>
  <c r="J3" i="15"/>
  <c r="L3" i="15" s="1"/>
  <c r="D6" i="15"/>
  <c r="P6" i="24"/>
  <c r="R6" i="24" s="1"/>
  <c r="P6" i="23"/>
  <c r="R6" i="23" s="1"/>
  <c r="H5" i="31"/>
  <c r="G4" i="15"/>
  <c r="I4" i="15" s="1"/>
  <c r="H7" i="27"/>
  <c r="P8" i="27"/>
  <c r="R8" i="27" s="1"/>
  <c r="P19" i="25"/>
  <c r="R19" i="25" s="1"/>
  <c r="H5" i="25"/>
  <c r="J5" i="25" s="1"/>
  <c r="P6" i="30"/>
  <c r="R6" i="30" s="1"/>
  <c r="D16" i="15"/>
  <c r="J8" i="15"/>
  <c r="L8" i="15" s="1"/>
  <c r="H490" i="27"/>
  <c r="J490" i="27" s="1"/>
  <c r="D11" i="15"/>
  <c r="P6" i="26"/>
  <c r="J14" i="15"/>
  <c r="L14" i="15" s="1"/>
  <c r="P8" i="34"/>
  <c r="R8" i="34" s="1"/>
  <c r="H7" i="34"/>
  <c r="J7" i="34" s="1"/>
  <c r="F3" i="15" l="1"/>
  <c r="D13" i="15"/>
  <c r="J5" i="31"/>
  <c r="F11" i="15"/>
  <c r="F16" i="15"/>
  <c r="F13" i="15"/>
  <c r="F6" i="15"/>
  <c r="P7" i="27"/>
  <c r="R7" i="27" s="1"/>
  <c r="J7" i="27"/>
  <c r="G20" i="15"/>
  <c r="I20" i="15" s="1"/>
  <c r="B119" i="7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J6" i="15"/>
  <c r="L6" i="15" s="1"/>
  <c r="P5" i="31"/>
  <c r="R5" i="31" s="1"/>
  <c r="B54" i="3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P5" i="25"/>
  <c r="R5" i="25" s="1"/>
  <c r="D10" i="15"/>
  <c r="J13" i="15"/>
  <c r="L13" i="15" s="1"/>
  <c r="P490" i="27"/>
  <c r="R490" i="27" s="1"/>
  <c r="H6" i="27"/>
  <c r="J6" i="27" s="1"/>
  <c r="J11" i="15"/>
  <c r="L11" i="15" s="1"/>
  <c r="J16" i="15"/>
  <c r="L16" i="15" s="1"/>
  <c r="P7" i="34"/>
  <c r="R7" i="34" s="1"/>
  <c r="D15" i="15"/>
  <c r="F10" i="15" l="1"/>
  <c r="F15" i="15"/>
  <c r="B156" i="7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48" i="7"/>
  <c r="B149" i="7" s="1"/>
  <c r="B128" i="27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J10" i="15"/>
  <c r="L10" i="15" s="1"/>
  <c r="D12" i="15"/>
  <c r="F12" i="15" s="1"/>
  <c r="P6" i="27"/>
  <c r="J15" i="15"/>
  <c r="L15" i="15" s="1"/>
  <c r="B176" i="27" l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D4" i="15"/>
  <c r="F4" i="15" s="1"/>
  <c r="R6" i="27"/>
  <c r="B187" i="7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J12" i="15"/>
  <c r="L12" i="15" s="1"/>
  <c r="J4" i="15" l="1"/>
  <c r="L4" i="15" s="1"/>
  <c r="D18" i="15"/>
  <c r="F18" i="15" s="1"/>
  <c r="B222" i="27"/>
  <c r="B223" i="27" s="1"/>
  <c r="B207" i="7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24" i="27" l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J22" i="15"/>
  <c r="L22" i="15" s="1"/>
  <c r="B256" i="27" l="1"/>
  <c r="B257" i="27" s="1"/>
  <c r="B258" i="27" s="1"/>
  <c r="B259" i="27" s="1"/>
  <c r="B260" i="27" s="1"/>
  <c r="B261" i="27" s="1"/>
  <c r="B262" i="27" s="1"/>
  <c r="B263" i="27" s="1"/>
  <c r="B264" i="27" s="1"/>
  <c r="B265" i="27" s="1"/>
  <c r="B266" i="27" s="1"/>
  <c r="B267" i="27" s="1"/>
  <c r="B268" i="27" s="1"/>
  <c r="B269" i="27" s="1"/>
  <c r="B270" i="27" s="1"/>
  <c r="B271" i="27" s="1"/>
  <c r="B272" i="27" s="1"/>
  <c r="B273" i="27" s="1"/>
  <c r="B274" i="27" s="1"/>
  <c r="B275" i="27" s="1"/>
  <c r="B276" i="27" s="1"/>
  <c r="B277" i="27" s="1"/>
  <c r="B278" i="27" s="1"/>
  <c r="B279" i="27" s="1"/>
  <c r="B280" i="27" s="1"/>
  <c r="B281" i="27" s="1"/>
  <c r="B282" i="27" s="1"/>
  <c r="B283" i="27" s="1"/>
  <c r="B284" i="27" s="1"/>
  <c r="B285" i="27" s="1"/>
  <c r="B286" i="27" s="1"/>
  <c r="B287" i="27" s="1"/>
  <c r="B288" i="27" s="1"/>
  <c r="B289" i="27" s="1"/>
  <c r="B290" i="27" s="1"/>
  <c r="B291" i="27" s="1"/>
  <c r="B292" i="27" s="1"/>
  <c r="B293" i="27" s="1"/>
  <c r="B294" i="27" s="1"/>
  <c r="B295" i="27" s="1"/>
  <c r="B296" i="27" s="1"/>
  <c r="B297" i="27" s="1"/>
  <c r="B298" i="27" s="1"/>
  <c r="B299" i="27" s="1"/>
  <c r="B300" i="27" s="1"/>
  <c r="B301" i="27" s="1"/>
  <c r="B302" i="27" s="1"/>
  <c r="B303" i="27" s="1"/>
  <c r="B304" i="27" s="1"/>
  <c r="B305" i="27" s="1"/>
  <c r="B306" i="27" s="1"/>
  <c r="B307" i="27" s="1"/>
  <c r="J44" i="15"/>
  <c r="B308" i="27" l="1"/>
  <c r="B309" i="27" s="1"/>
  <c r="B310" i="27" s="1"/>
  <c r="B311" i="27" s="1"/>
  <c r="B312" i="27" s="1"/>
  <c r="B313" i="27" s="1"/>
  <c r="B314" i="27" s="1"/>
  <c r="B315" i="27" s="1"/>
  <c r="B316" i="27" s="1"/>
  <c r="B317" i="27" s="1"/>
  <c r="B318" i="27" s="1"/>
  <c r="B319" i="27" s="1"/>
  <c r="B320" i="27" s="1"/>
  <c r="B321" i="27" s="1"/>
  <c r="B322" i="27" s="1"/>
  <c r="B323" i="27" l="1"/>
  <c r="B324" i="27" s="1"/>
  <c r="B325" i="27" s="1"/>
  <c r="B326" i="27" s="1"/>
  <c r="B327" i="27" s="1"/>
  <c r="B328" i="27" s="1"/>
  <c r="B329" i="27" s="1"/>
  <c r="B330" i="27" s="1"/>
  <c r="B331" i="27" s="1"/>
  <c r="B332" i="27" s="1"/>
  <c r="B333" i="27" s="1"/>
  <c r="B334" i="27" s="1"/>
  <c r="B335" i="27" s="1"/>
  <c r="B336" i="27" s="1"/>
  <c r="B337" i="27" s="1"/>
  <c r="B338" i="27" s="1"/>
  <c r="B339" i="27" s="1"/>
  <c r="B340" i="27" s="1"/>
  <c r="B341" i="27" s="1"/>
  <c r="B342" i="27" s="1"/>
  <c r="B343" i="27" s="1"/>
  <c r="B344" i="27" s="1"/>
  <c r="B345" i="27" s="1"/>
  <c r="B346" i="27" s="1"/>
  <c r="B347" i="27" s="1"/>
  <c r="B348" i="27" s="1"/>
  <c r="B349" i="27" s="1"/>
  <c r="B350" i="27" s="1"/>
  <c r="B351" i="27" s="1"/>
  <c r="B352" i="27" s="1"/>
  <c r="B353" i="27" s="1"/>
  <c r="B354" i="27" s="1"/>
  <c r="B355" i="27" s="1"/>
  <c r="B356" i="27" l="1"/>
  <c r="B357" i="27" s="1"/>
  <c r="B358" i="27" s="1"/>
  <c r="B359" i="27" s="1"/>
  <c r="B360" i="27" s="1"/>
  <c r="B361" i="27" s="1"/>
  <c r="B362" i="27" s="1"/>
  <c r="B363" i="27" s="1"/>
  <c r="B364" i="27" s="1"/>
  <c r="B365" i="27" s="1"/>
  <c r="B366" i="27" s="1"/>
  <c r="B367" i="27" s="1"/>
  <c r="B368" i="27" s="1"/>
  <c r="B369" i="27" s="1"/>
  <c r="B370" i="27" s="1"/>
  <c r="B371" i="27" s="1"/>
  <c r="B372" i="27" s="1"/>
  <c r="B373" i="27" s="1"/>
  <c r="B374" i="27" s="1"/>
  <c r="B375" i="27" s="1"/>
  <c r="B376" i="27" s="1"/>
  <c r="B377" i="27" s="1"/>
  <c r="B378" i="27" s="1"/>
  <c r="B379" i="27" s="1"/>
  <c r="B380" i="27" s="1"/>
  <c r="B381" i="27" s="1"/>
  <c r="B382" i="27" s="1"/>
  <c r="B383" i="27" s="1"/>
  <c r="B384" i="27" s="1"/>
  <c r="B385" i="27" s="1"/>
  <c r="B386" i="27" s="1"/>
  <c r="B387" i="27" s="1"/>
  <c r="B388" i="27" s="1"/>
  <c r="B389" i="27" s="1"/>
  <c r="B390" i="27" s="1"/>
  <c r="B391" i="27" s="1"/>
  <c r="B392" i="27" s="1"/>
  <c r="B393" i="27" s="1"/>
  <c r="B394" i="27" s="1"/>
  <c r="B395" i="27" s="1"/>
  <c r="B396" i="27" s="1"/>
  <c r="B397" i="27" s="1"/>
  <c r="B398" i="27" s="1"/>
  <c r="B399" i="27" s="1"/>
  <c r="B400" i="27" s="1"/>
  <c r="B401" i="27" s="1"/>
  <c r="B402" i="27" s="1"/>
  <c r="B403" i="27" s="1"/>
  <c r="B404" i="27" s="1"/>
  <c r="B405" i="27" s="1"/>
  <c r="B406" i="27" s="1"/>
  <c r="B407" i="27" s="1"/>
  <c r="B408" i="27" s="1"/>
  <c r="B409" i="27" s="1"/>
  <c r="B410" i="27" s="1"/>
  <c r="B411" i="27" s="1"/>
  <c r="B412" i="27" s="1"/>
  <c r="B413" i="27" s="1"/>
  <c r="B414" i="27" s="1"/>
  <c r="B415" i="27" s="1"/>
  <c r="B416" i="27" s="1"/>
  <c r="B417" i="27" s="1"/>
  <c r="B418" i="27" s="1"/>
  <c r="B419" i="27" s="1"/>
  <c r="B420" i="27" s="1"/>
  <c r="B421" i="27" s="1"/>
  <c r="B422" i="27" s="1"/>
  <c r="B423" i="27" s="1"/>
  <c r="B424" i="27" s="1"/>
  <c r="B425" i="27" s="1"/>
  <c r="B426" i="27" s="1"/>
  <c r="B427" i="27" s="1"/>
  <c r="B428" i="27" s="1"/>
  <c r="B429" i="27" s="1"/>
  <c r="B430" i="27" s="1"/>
  <c r="B431" i="27" s="1"/>
  <c r="B432" i="27" s="1"/>
  <c r="B433" i="27" s="1"/>
  <c r="B434" i="27" s="1"/>
  <c r="B435" i="27" s="1"/>
  <c r="B436" i="27" s="1"/>
  <c r="B437" i="27" s="1"/>
  <c r="B438" i="27" s="1"/>
  <c r="B439" i="27" s="1"/>
  <c r="B440" i="27" s="1"/>
  <c r="B441" i="27" s="1"/>
  <c r="B442" i="27" s="1"/>
  <c r="B443" i="27" s="1"/>
  <c r="B444" i="27" s="1"/>
  <c r="B445" i="27" s="1"/>
  <c r="B446" i="27" s="1"/>
  <c r="B447" i="27" s="1"/>
  <c r="B448" i="27" s="1"/>
  <c r="B449" i="27" s="1"/>
  <c r="B450" i="27" s="1"/>
  <c r="B451" i="27" s="1"/>
  <c r="B452" i="27" s="1"/>
  <c r="B453" i="27" s="1"/>
  <c r="B454" i="27" s="1"/>
  <c r="B455" i="27" s="1"/>
  <c r="B456" i="27" s="1"/>
  <c r="B457" i="27" s="1"/>
  <c r="B458" i="27" s="1"/>
  <c r="B459" i="27" s="1"/>
  <c r="B460" i="27" s="1"/>
  <c r="B461" i="27" s="1"/>
  <c r="B462" i="27" s="1"/>
  <c r="B463" i="27" s="1"/>
  <c r="B464" i="27" s="1"/>
  <c r="B465" i="27" s="1"/>
  <c r="B466" i="27" s="1"/>
  <c r="B467" i="27" s="1"/>
  <c r="B468" i="27" s="1"/>
  <c r="B469" i="27" s="1"/>
  <c r="B470" i="27" s="1"/>
  <c r="B471" i="27" s="1"/>
  <c r="B472" i="27" s="1"/>
  <c r="B473" i="27" s="1"/>
  <c r="B474" i="27" s="1"/>
  <c r="B475" i="27" s="1"/>
  <c r="B476" i="27" s="1"/>
  <c r="B477" i="27" s="1"/>
  <c r="B478" i="27" s="1"/>
  <c r="B479" i="27" s="1"/>
  <c r="B480" i="27" s="1"/>
  <c r="B481" i="27" s="1"/>
  <c r="B482" i="27" s="1"/>
  <c r="B483" i="27" s="1"/>
  <c r="B484" i="27" s="1"/>
  <c r="B485" i="27" s="1"/>
  <c r="B486" i="27" s="1"/>
  <c r="B487" i="27" s="1"/>
  <c r="B488" i="27" s="1"/>
  <c r="B489" i="27" s="1"/>
  <c r="B490" i="27" s="1"/>
  <c r="B491" i="27" s="1"/>
  <c r="B492" i="27" s="1"/>
  <c r="B493" i="27" s="1"/>
  <c r="B494" i="27" s="1"/>
  <c r="B495" i="27" l="1"/>
  <c r="B496" i="27" s="1"/>
  <c r="B497" i="27" s="1"/>
  <c r="B498" i="27" s="1"/>
  <c r="B499" i="27" s="1"/>
  <c r="B500" i="27" s="1"/>
  <c r="B501" i="27" s="1"/>
  <c r="B502" i="27" s="1"/>
  <c r="B503" i="27" s="1"/>
  <c r="B504" i="27" s="1"/>
  <c r="B505" i="27" s="1"/>
  <c r="B506" i="27" s="1"/>
  <c r="B507" i="27" s="1"/>
  <c r="B508" i="27" s="1"/>
  <c r="B509" i="27" s="1"/>
  <c r="B510" i="27" s="1"/>
  <c r="B511" i="27" s="1"/>
  <c r="B512" i="27" s="1"/>
  <c r="B513" i="27" l="1"/>
  <c r="B514" i="27" s="1"/>
  <c r="B515" i="27" s="1"/>
  <c r="B516" i="27" s="1"/>
  <c r="B517" i="27" s="1"/>
  <c r="B518" i="27" s="1"/>
  <c r="B519" i="27" s="1"/>
  <c r="B520" i="27" s="1"/>
  <c r="B521" i="27" s="1"/>
  <c r="B522" i="27" s="1"/>
  <c r="B523" i="27" s="1"/>
  <c r="B524" i="27" s="1"/>
  <c r="B525" i="27" s="1"/>
  <c r="B526" i="27" s="1"/>
  <c r="B527" i="27" s="1"/>
  <c r="B528" i="27" s="1"/>
  <c r="B529" i="27" s="1"/>
  <c r="B530" i="27" s="1"/>
  <c r="B531" i="27" s="1"/>
  <c r="B532" i="27" s="1"/>
  <c r="B533" i="27" l="1"/>
  <c r="B534" i="27" s="1"/>
  <c r="B535" i="27" s="1"/>
  <c r="B536" i="27" s="1"/>
  <c r="B537" i="27" s="1"/>
  <c r="B538" i="27" s="1"/>
  <c r="B539" i="27" s="1"/>
  <c r="B540" i="27" s="1"/>
  <c r="B541" i="27" s="1"/>
  <c r="B542" i="27" s="1"/>
  <c r="B543" i="27" s="1"/>
  <c r="B544" i="27" s="1"/>
  <c r="B545" i="27" l="1"/>
  <c r="B546" i="27" s="1"/>
  <c r="B547" i="27" s="1"/>
  <c r="B548" i="27" s="1"/>
  <c r="B549" i="27" s="1"/>
  <c r="B550" i="27" s="1"/>
  <c r="B551" i="27" s="1"/>
  <c r="B552" i="27" s="1"/>
  <c r="B553" i="27" s="1"/>
  <c r="B554" i="27" l="1"/>
  <c r="B555" i="27" s="1"/>
  <c r="B556" i="27" s="1"/>
  <c r="B557" i="27" s="1"/>
  <c r="B558" i="27" s="1"/>
  <c r="B559" i="27" s="1"/>
  <c r="B560" i="27" s="1"/>
  <c r="B561" i="27" s="1"/>
  <c r="B562" i="27" s="1"/>
  <c r="B563" i="27" s="1"/>
  <c r="B564" i="27" l="1"/>
  <c r="B565" i="27" s="1"/>
  <c r="B566" i="27" s="1"/>
  <c r="B567" i="27" s="1"/>
  <c r="B568" i="27" s="1"/>
  <c r="B569" i="27" l="1"/>
  <c r="B570" i="27" s="1"/>
  <c r="B571" i="27" s="1"/>
  <c r="B572" i="27" s="1"/>
  <c r="B573" i="27" s="1"/>
  <c r="B574" i="27" s="1"/>
  <c r="B575" i="27" s="1"/>
  <c r="B576" i="27" s="1"/>
  <c r="B577" i="27" s="1"/>
  <c r="B578" i="27" s="1"/>
  <c r="B579" i="27" s="1"/>
  <c r="B580" i="27" s="1"/>
  <c r="B581" i="27" s="1"/>
  <c r="B582" i="27" s="1"/>
  <c r="B583" i="27" s="1"/>
  <c r="B584" i="27" s="1"/>
  <c r="B585" i="27" s="1"/>
  <c r="B586" i="27" s="1"/>
  <c r="B587" i="27" s="1"/>
  <c r="B588" i="27" s="1"/>
  <c r="B589" i="27" s="1"/>
  <c r="B590" i="27" s="1"/>
  <c r="B591" i="27" s="1"/>
  <c r="B592" i="27" s="1"/>
  <c r="B593" i="27" s="1"/>
  <c r="B594" i="27" s="1"/>
  <c r="B595" i="27" s="1"/>
  <c r="B596" i="27" s="1"/>
  <c r="B597" i="27" s="1"/>
  <c r="B598" i="27" s="1"/>
  <c r="B599" i="27" s="1"/>
  <c r="B600" i="27" s="1"/>
  <c r="B601" i="27" s="1"/>
  <c r="B602" i="27" s="1"/>
  <c r="B603" i="27" s="1"/>
  <c r="B604" i="27" s="1"/>
  <c r="B605" i="27" l="1"/>
  <c r="B606" i="27" s="1"/>
  <c r="B607" i="27" s="1"/>
  <c r="B608" i="27" s="1"/>
  <c r="B609" i="27" s="1"/>
  <c r="B610" i="27" s="1"/>
  <c r="B611" i="27" s="1"/>
  <c r="B612" i="27" s="1"/>
  <c r="B613" i="27" s="1"/>
  <c r="B614" i="27" s="1"/>
  <c r="B615" i="27" s="1"/>
  <c r="B616" i="27" s="1"/>
  <c r="B617" i="27" s="1"/>
  <c r="B618" i="27" s="1"/>
  <c r="B619" i="27" s="1"/>
  <c r="B620" i="27" s="1"/>
  <c r="B621" i="27" s="1"/>
  <c r="B622" i="27" s="1"/>
  <c r="B623" i="27" s="1"/>
  <c r="B624" i="27" s="1"/>
  <c r="B625" i="27" s="1"/>
  <c r="B626" i="27" s="1"/>
  <c r="B627" i="27" s="1"/>
  <c r="B628" i="27" s="1"/>
  <c r="B629" i="27" s="1"/>
  <c r="B630" i="27" s="1"/>
  <c r="B631" i="27" s="1"/>
  <c r="B632" i="27" s="1"/>
  <c r="B633" i="27" s="1"/>
  <c r="B634" i="27" s="1"/>
  <c r="B635" i="27" s="1"/>
  <c r="B636" i="27" s="1"/>
  <c r="B637" i="27" s="1"/>
  <c r="B638" i="27" s="1"/>
  <c r="B639" i="27" s="1"/>
  <c r="B640" i="27" s="1"/>
  <c r="B641" i="27" s="1"/>
  <c r="B642" i="27" s="1"/>
  <c r="B643" i="27" s="1"/>
  <c r="B644" i="27" s="1"/>
  <c r="B645" i="27" s="1"/>
  <c r="B646" i="27" s="1"/>
  <c r="B647" i="27" s="1"/>
  <c r="B648" i="27" s="1"/>
  <c r="B649" i="27" s="1"/>
  <c r="B650" i="27" s="1"/>
  <c r="B651" i="27" s="1"/>
  <c r="B652" i="27" s="1"/>
  <c r="B653" i="27" s="1"/>
  <c r="B654" i="27" s="1"/>
  <c r="B655" i="27" s="1"/>
  <c r="B656" i="27" s="1"/>
  <c r="B657" i="27" s="1"/>
  <c r="B658" i="27" s="1"/>
  <c r="B659" i="27" s="1"/>
  <c r="B660" i="27" s="1"/>
  <c r="B661" i="27" s="1"/>
  <c r="B662" i="27" s="1"/>
  <c r="B663" i="27" s="1"/>
  <c r="B664" i="27" s="1"/>
  <c r="B665" i="27" s="1"/>
  <c r="B666" i="27" s="1"/>
  <c r="B667" i="27" s="1"/>
  <c r="B668" i="27" s="1"/>
  <c r="B669" i="27" s="1"/>
  <c r="B670" i="27" s="1"/>
  <c r="B671" i="27" s="1"/>
  <c r="B672" i="27" l="1"/>
  <c r="B673" i="27" s="1"/>
  <c r="B674" i="27" s="1"/>
  <c r="B675" i="27" s="1"/>
  <c r="B676" i="27" s="1"/>
  <c r="B677" i="27" s="1"/>
  <c r="B678" i="27" s="1"/>
  <c r="B679" i="27" s="1"/>
  <c r="B680" i="27" s="1"/>
  <c r="B681" i="27" s="1"/>
  <c r="B682" i="27" s="1"/>
  <c r="B683" i="27" s="1"/>
  <c r="B684" i="27" s="1"/>
  <c r="B685" i="27" s="1"/>
  <c r="B686" i="27" s="1"/>
  <c r="B687" i="27" s="1"/>
  <c r="B688" i="27" s="1"/>
  <c r="B689" i="27" s="1"/>
  <c r="B690" i="27" s="1"/>
  <c r="B691" i="27" s="1"/>
  <c r="B692" i="27" s="1"/>
  <c r="B693" i="27" s="1"/>
  <c r="B694" i="27" s="1"/>
  <c r="B695" i="27" s="1"/>
  <c r="B696" i="27" s="1"/>
  <c r="B697" i="27" s="1"/>
  <c r="B698" i="27" s="1"/>
  <c r="B699" i="27" s="1"/>
  <c r="B700" i="27" s="1"/>
  <c r="B701" i="27" s="1"/>
  <c r="B702" i="27" s="1"/>
  <c r="B703" i="27" s="1"/>
  <c r="B704" i="27" s="1"/>
  <c r="B705" i="27" s="1"/>
  <c r="B706" i="27" s="1"/>
  <c r="B707" i="27" s="1"/>
  <c r="B708" i="27" s="1"/>
  <c r="B709" i="27" s="1"/>
  <c r="B710" i="27" s="1"/>
  <c r="B711" i="27" s="1"/>
  <c r="B712" i="27" s="1"/>
  <c r="B713" i="27" s="1"/>
  <c r="B714" i="27" s="1"/>
  <c r="B715" i="27" s="1"/>
  <c r="B716" i="27" s="1"/>
  <c r="B717" i="27" s="1"/>
  <c r="B718" i="27" s="1"/>
  <c r="B719" i="27" s="1"/>
  <c r="B720" i="27" s="1"/>
  <c r="B721" i="27" s="1"/>
  <c r="B722" i="27" s="1"/>
  <c r="B723" i="27" s="1"/>
  <c r="B724" i="27" s="1"/>
  <c r="B725" i="27" s="1"/>
  <c r="B726" i="27" s="1"/>
  <c r="B727" i="27" s="1"/>
  <c r="B728" i="27" s="1"/>
  <c r="B729" i="27" s="1"/>
  <c r="B730" i="27" s="1"/>
  <c r="B731" i="27" s="1"/>
  <c r="B732" i="27" s="1"/>
  <c r="B733" i="27" s="1"/>
  <c r="B734" i="27" s="1"/>
  <c r="B735" i="27" s="1"/>
  <c r="B736" i="27" s="1"/>
  <c r="B737" i="27" s="1"/>
  <c r="B738" i="27" s="1"/>
  <c r="B739" i="27" s="1"/>
  <c r="B740" i="27" s="1"/>
  <c r="B741" i="27" s="1"/>
  <c r="B742" i="27" s="1"/>
  <c r="B743" i="27" s="1"/>
  <c r="B744" i="27" s="1"/>
  <c r="B745" i="27" s="1"/>
  <c r="B746" i="27" s="1"/>
  <c r="B747" i="27" s="1"/>
  <c r="B748" i="27" s="1"/>
  <c r="B749" i="27" s="1"/>
  <c r="B750" i="27" s="1"/>
  <c r="B751" i="27" s="1"/>
  <c r="B752" i="27" s="1"/>
  <c r="B753" i="27" s="1"/>
  <c r="B754" i="27" s="1"/>
  <c r="B755" i="27" s="1"/>
  <c r="B756" i="27" s="1"/>
  <c r="B757" i="27" s="1"/>
  <c r="B758" i="27" s="1"/>
  <c r="B759" i="27" s="1"/>
  <c r="B760" i="27" s="1"/>
  <c r="B761" i="27" s="1"/>
  <c r="B762" i="27" s="1"/>
  <c r="B763" i="27" l="1"/>
  <c r="B764" i="27" s="1"/>
  <c r="B765" i="27" s="1"/>
  <c r="B766" i="27" s="1"/>
  <c r="B767" i="27" s="1"/>
  <c r="B768" i="27" s="1"/>
  <c r="B769" i="27" s="1"/>
  <c r="B770" i="27" s="1"/>
  <c r="B771" i="27" s="1"/>
  <c r="B772" i="27" s="1"/>
  <c r="B773" i="27" s="1"/>
  <c r="B774" i="27" s="1"/>
  <c r="B775" i="27" s="1"/>
  <c r="B776" i="27" s="1"/>
  <c r="B777" i="27" s="1"/>
  <c r="B778" i="27" s="1"/>
  <c r="B779" i="27" s="1"/>
  <c r="B780" i="27" s="1"/>
  <c r="B781" i="27" s="1"/>
  <c r="B782" i="27" s="1"/>
  <c r="B783" i="27" s="1"/>
  <c r="B784" i="27" s="1"/>
  <c r="B785" i="27" s="1"/>
  <c r="B786" i="27" s="1"/>
  <c r="B787" i="27" s="1"/>
  <c r="B788" i="27" s="1"/>
  <c r="B789" i="27" s="1"/>
  <c r="B790" i="27" s="1"/>
  <c r="B791" i="27" s="1"/>
</calcChain>
</file>

<file path=xl/sharedStrings.xml><?xml version="1.0" encoding="utf-8"?>
<sst xmlns="http://schemas.openxmlformats.org/spreadsheetml/2006/main" count="3221" uniqueCount="912">
  <si>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</si>
  <si>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</si>
  <si>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</si>
  <si>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</si>
  <si>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</si>
  <si>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</si>
  <si>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</si>
  <si>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</si>
  <si>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</si>
  <si>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</si>
  <si>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</si>
  <si>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</si>
  <si>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</si>
  <si>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</si>
  <si>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</si>
  <si>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</si>
  <si>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</si>
  <si>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</si>
  <si>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</si>
  <si>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</si>
  <si>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</si>
  <si>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</si>
  <si>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</si>
  <si>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</si>
  <si>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</si>
  <si>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</si>
  <si>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</si>
  <si>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</si>
  <si>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</si>
  <si>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</si>
  <si>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</si>
  <si>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</si>
  <si>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</si>
  <si>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</si>
  <si>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</si>
  <si>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</si>
  <si>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</si>
  <si>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</si>
  <si>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</si>
  <si>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</si>
  <si>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</si>
  <si>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</si>
  <si>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</si>
  <si>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</si>
  <si>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</si>
  <si>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</si>
  <si>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</si>
  <si>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</si>
  <si>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</si>
  <si>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</si>
  <si>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</si>
  <si>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</si>
  <si>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</si>
  <si>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</si>
  <si>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</si>
  <si>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</si>
  <si>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</si>
  <si>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</si>
  <si>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</si>
  <si>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</si>
  <si>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</si>
  <si>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</si>
  <si>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</si>
  <si>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</si>
  <si>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</si>
  <si>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</si>
  <si>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</si>
  <si>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</si>
  <si>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</si>
  <si>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</si>
  <si>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</si>
  <si>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</si>
  <si>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</si>
  <si>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  <charset val="238"/>
      </rPr>
      <t>.</t>
    </r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</si>
  <si>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</si>
  <si>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</si>
  <si>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</si>
  <si>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</si>
  <si>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</si>
  <si>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</si>
  <si>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</si>
  <si>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</si>
  <si>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</si>
  <si>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</si>
  <si>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</si>
  <si>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</si>
  <si>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</si>
  <si>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</si>
  <si>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</si>
  <si>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</si>
  <si>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</si>
  <si>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</si>
  <si>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</si>
  <si>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</si>
  <si>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</si>
  <si>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</si>
  <si>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</si>
  <si>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</si>
  <si>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</si>
  <si>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</si>
  <si>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</si>
  <si>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</si>
  <si>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</si>
  <si>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</si>
  <si>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</si>
  <si>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</si>
  <si>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</si>
  <si>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</si>
  <si>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</si>
  <si>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</si>
  <si>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</si>
  <si>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</si>
  <si>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</si>
  <si>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</si>
  <si>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</si>
  <si>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</si>
  <si>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</si>
  <si>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</si>
  <si>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</si>
  <si>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</si>
  <si>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</si>
  <si>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</si>
  <si>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</si>
  <si>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</si>
  <si>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</si>
  <si>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</si>
  <si>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</si>
  <si>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</si>
  <si>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</si>
  <si>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</si>
  <si>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</si>
  <si>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</si>
  <si>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</si>
  <si>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</si>
  <si>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</si>
  <si>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</si>
  <si>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</si>
  <si>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</si>
  <si>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</si>
  <si>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</si>
  <si>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</si>
  <si>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</si>
  <si>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</si>
  <si>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</si>
  <si>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</si>
  <si>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</si>
  <si>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</si>
  <si>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</si>
  <si>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</si>
  <si>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</si>
  <si>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</si>
  <si>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</si>
  <si>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</si>
  <si>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</si>
  <si>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</si>
  <si>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Dotácia - predškolský vek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</si>
  <si>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</si>
  <si>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</si>
  <si>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</si>
  <si>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</si>
  <si>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</si>
  <si>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</si>
  <si>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</si>
  <si>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</si>
  <si>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PROGRAM 9:  KULTÚRA</t>
  </si>
  <si>
    <t>PROGRAM 11:  SOCIÁLNE  SLUŽBY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</si>
  <si>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</si>
  <si>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</si>
  <si>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</si>
  <si>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</si>
  <si>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</si>
  <si>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</si>
  <si>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</si>
  <si>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</si>
  <si>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</si>
  <si>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</si>
  <si>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</si>
  <si>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</si>
  <si>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</si>
  <si>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</si>
  <si>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</si>
  <si>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príjem z predaja kapitálových aktív</t>
  </si>
  <si>
    <t>233</t>
  </si>
  <si>
    <t>Príjem z predaja pozemkov a nehmotných aktív</t>
  </si>
  <si>
    <t xml:space="preserve"> - pozemkov v priemyselnej zóne Zámostie</t>
  </si>
  <si>
    <t>KAPITÁLOVÉ PRÍJMY SPOLU:</t>
  </si>
  <si>
    <t>PRÍJMY SPOLU:</t>
  </si>
  <si>
    <t>Výsledok hospodárenia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</si>
  <si>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</si>
  <si>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</si>
  <si>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</si>
  <si>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</si>
  <si>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</si>
  <si>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Slovenská sporiteľňa a.s. - istina z poskytnutých úverov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</si>
  <si>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</si>
  <si>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</si>
  <si>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</si>
  <si>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</si>
  <si>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</si>
  <si>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</si>
  <si>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</si>
  <si>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</si>
  <si>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</si>
  <si>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</si>
  <si>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</si>
  <si>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</si>
  <si>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</si>
  <si>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</si>
  <si>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</si>
  <si>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</si>
  <si>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</si>
  <si>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</si>
  <si>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</si>
  <si>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</si>
  <si>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</si>
  <si>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</si>
  <si>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</si>
  <si>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</si>
  <si>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</si>
  <si>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</si>
  <si>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</si>
  <si>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</si>
  <si>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</si>
  <si>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</si>
  <si>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</si>
  <si>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</si>
  <si>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</si>
  <si>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</si>
  <si>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</si>
  <si>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</si>
  <si>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</si>
  <si>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</si>
  <si>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</si>
  <si>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</si>
  <si>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</si>
  <si>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</si>
  <si>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</si>
  <si>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Vzdelávanie zamestnancov mesta</t>
  </si>
  <si>
    <t>Elektrická energia</t>
  </si>
  <si>
    <t>06.4.0.</t>
  </si>
  <si>
    <t>Poistné</t>
  </si>
  <si>
    <t>06.2.0.</t>
  </si>
  <si>
    <t>Územno plánovacie podklady a dokumentácie</t>
  </si>
  <si>
    <t>Aktualizácia softvéru</t>
  </si>
  <si>
    <t>04.4.3.</t>
  </si>
  <si>
    <t>ZŠ Potočná - ŠZMT m.r.o.</t>
  </si>
  <si>
    <t>Energie, voda a komunikácie</t>
  </si>
  <si>
    <t>Materiál</t>
  </si>
  <si>
    <t>Služby</t>
  </si>
  <si>
    <t>Tovary a služby, z toho:</t>
  </si>
  <si>
    <t>ŠKD Potočná - ŠZMT m.r.o.</t>
  </si>
  <si>
    <t xml:space="preserve"> - poplatky za školské kluby</t>
  </si>
  <si>
    <t>08.1.0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</si>
  <si>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</si>
  <si>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</si>
  <si>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</si>
  <si>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</si>
  <si>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</si>
  <si>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</si>
  <si>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</si>
  <si>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</si>
  <si>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</si>
  <si>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</si>
  <si>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</si>
  <si>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za vstupné: krytá plaváreň</t>
  </si>
  <si>
    <t>za vstupné: letná plaváreň</t>
  </si>
  <si>
    <t>za energie: krytá a letná plaváreň</t>
  </si>
  <si>
    <t>04.2.2.</t>
  </si>
  <si>
    <t>Transfery</t>
  </si>
  <si>
    <t>05.1.0.</t>
  </si>
  <si>
    <t>Skládka Zámoste - monitoring</t>
  </si>
  <si>
    <t>05.6.0.</t>
  </si>
  <si>
    <t>Deratizácia verejných plôch zelene</t>
  </si>
  <si>
    <t>01.3.3.</t>
  </si>
  <si>
    <t>03.2.0.</t>
  </si>
  <si>
    <t>Poštové a telekomunikačné služby</t>
  </si>
  <si>
    <t>Údržba budov Mestského úradu</t>
  </si>
  <si>
    <t>08.4.0.</t>
  </si>
  <si>
    <t>02.2.0.</t>
  </si>
  <si>
    <t>zákonné povinnosti na úseku CO</t>
  </si>
  <si>
    <t>daň za ubytovanie</t>
  </si>
  <si>
    <t>01.1.2.</t>
  </si>
  <si>
    <t>Poštovné (právnické osoby,predvolania, ...)</t>
  </si>
  <si>
    <t>Dávka sociálnej pomoci</t>
  </si>
  <si>
    <t>Grantový program</t>
  </si>
  <si>
    <t>Posudková činnosť</t>
  </si>
  <si>
    <t>Pohrebné služby</t>
  </si>
  <si>
    <t>Príspevky na dopravu do detského domova</t>
  </si>
  <si>
    <t>Príspevky na úpravu rodinných pomerov</t>
  </si>
  <si>
    <t>Tvorba úspor na dieťa</t>
  </si>
  <si>
    <t>09.1.1.1.</t>
  </si>
  <si>
    <t>SSMT m.r.o.</t>
  </si>
  <si>
    <t>Cestovné náhrady</t>
  </si>
  <si>
    <t xml:space="preserve"> - Združenie hlavných kontrolórov miest a obcí SR</t>
  </si>
  <si>
    <t xml:space="preserve"> - RZMOSP</t>
  </si>
  <si>
    <t xml:space="preserve"> - Euroregión Biele Karpaty</t>
  </si>
  <si>
    <t>za verejné WC</t>
  </si>
  <si>
    <t>Transfery - náhrada počas PN</t>
  </si>
  <si>
    <t>Energie, voda a komunikácie - telefón,poštovné</t>
  </si>
  <si>
    <t>Transfery - náhrada počas PN, odchodné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</si>
  <si>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</si>
  <si>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</si>
  <si>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</si>
  <si>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</si>
  <si>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</si>
  <si>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charset val="238"/>
      </rPr>
      <t xml:space="preserve"> - poistenie</t>
    </r>
  </si>
  <si>
    <t>Poistné a prívpevky do poisťovní</t>
  </si>
  <si>
    <t>Cestovné výdavky</t>
  </si>
  <si>
    <t>03.1.0.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</si>
  <si>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</si>
  <si>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</si>
  <si>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</si>
  <si>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</si>
  <si>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príležitostné menšie podujatia</t>
  </si>
  <si>
    <t>Organizácia kultúrnych podujatí</t>
  </si>
  <si>
    <t>Podpora kultúrnych podujatí a činností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</si>
  <si>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</si>
  <si>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</si>
  <si>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</si>
  <si>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</si>
  <si>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Nocľaháreň</t>
  </si>
  <si>
    <t xml:space="preserve">Služby </t>
  </si>
  <si>
    <t>717</t>
  </si>
  <si>
    <t>Odmeňovanie učiteľov, žiakov, knihy</t>
  </si>
  <si>
    <t>Dotácia v oblasti školstva a výchovy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</si>
  <si>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</si>
  <si>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</si>
  <si>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</si>
  <si>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</si>
  <si>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</si>
  <si>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</si>
  <si>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</si>
  <si>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</si>
  <si>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</si>
  <si>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</si>
  <si>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</si>
  <si>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</si>
  <si>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</si>
  <si>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</si>
  <si>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</si>
  <si>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</si>
  <si>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charset val="238"/>
      </rPr>
      <t>z toho:</t>
    </r>
  </si>
  <si>
    <t>MŠ Legionárska</t>
  </si>
  <si>
    <t>MŠ Považská</t>
  </si>
  <si>
    <t>MŠ Turkovej</t>
  </si>
  <si>
    <t>MŠ Soblahovská</t>
  </si>
  <si>
    <t>MŠ Šmidkeho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</si>
  <si>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</si>
  <si>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</si>
  <si>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</si>
  <si>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</si>
  <si>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</si>
  <si>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</si>
  <si>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</si>
  <si>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</si>
  <si>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</si>
  <si>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</si>
  <si>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</si>
  <si>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</si>
  <si>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</si>
  <si>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</si>
  <si>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</si>
  <si>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</si>
  <si>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</si>
  <si>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</si>
  <si>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</si>
  <si>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ZŠ Novomeského</t>
  </si>
  <si>
    <t xml:space="preserve">Dopravné 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</si>
  <si>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</si>
  <si>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</si>
  <si>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</si>
  <si>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</si>
  <si>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</si>
  <si>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</si>
  <si>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</si>
  <si>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</si>
  <si>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</si>
  <si>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</si>
  <si>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</si>
  <si>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</si>
  <si>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</si>
  <si>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</si>
  <si>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</si>
  <si>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</si>
  <si>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</si>
  <si>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</si>
  <si>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</si>
  <si>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</si>
  <si>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</si>
  <si>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</si>
  <si>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</si>
  <si>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</si>
  <si>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</si>
  <si>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</si>
  <si>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</si>
  <si>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</si>
  <si>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</si>
  <si>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</si>
  <si>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</si>
  <si>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</si>
  <si>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</si>
  <si>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</si>
  <si>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</si>
  <si>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</si>
  <si>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</si>
  <si>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</si>
  <si>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</si>
  <si>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</si>
  <si>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</si>
  <si>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</si>
  <si>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</si>
  <si>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</si>
  <si>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</si>
  <si>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ŠJ pri MŠ Pri Niva</t>
  </si>
  <si>
    <t>ŠZMT m.r.o. - školské jedálne:</t>
  </si>
  <si>
    <t>ŠJ Na Dolinách</t>
  </si>
  <si>
    <t>ŠJ ZŠ Hodžova</t>
  </si>
  <si>
    <t xml:space="preserve">  - služby - stravovanie - HEES Gastroslužby s.r.o.</t>
  </si>
  <si>
    <t>Rovnošaty</t>
  </si>
  <si>
    <t>Strategické plánovanie mesta</t>
  </si>
  <si>
    <t xml:space="preserve"> - Asociácia prednostov</t>
  </si>
  <si>
    <t>ZŠ Bezručova</t>
  </si>
  <si>
    <t>Poistenie (stará + nová letná)</t>
  </si>
  <si>
    <t>Činnosti na úseku PO</t>
  </si>
  <si>
    <t>zimný štadión</t>
  </si>
  <si>
    <t>Bežné transfery</t>
  </si>
  <si>
    <t>04.7.3.</t>
  </si>
  <si>
    <t>08.3.0.</t>
  </si>
  <si>
    <t>09.5.0.</t>
  </si>
  <si>
    <t>09.1.2.1.</t>
  </si>
  <si>
    <t xml:space="preserve">09.1.2.1. </t>
  </si>
  <si>
    <t>06.1.0.</t>
  </si>
  <si>
    <t>Nová letná plaváreň - energie+stráženie</t>
  </si>
  <si>
    <t>716</t>
  </si>
  <si>
    <t>Rekultivácia skládky Zámostie - splátka</t>
  </si>
  <si>
    <t>Nákup pozemkov</t>
  </si>
  <si>
    <t xml:space="preserve">Kľúčové podujatia </t>
  </si>
  <si>
    <t xml:space="preserve">ZŠ Potočná </t>
  </si>
  <si>
    <t>Telefóny, internet</t>
  </si>
  <si>
    <t xml:space="preserve">Odmeny </t>
  </si>
  <si>
    <t>Medz.spolupráca a zahraničné vzťahy</t>
  </si>
  <si>
    <t xml:space="preserve"> - Asociácia komunálnych ekonómov</t>
  </si>
  <si>
    <t>Komunikácia s verej.inštitúciami v mene mesta</t>
  </si>
  <si>
    <r>
      <t>MHSL m.r.o. - prevádzka budov</t>
    </r>
    <r>
      <rPr>
        <sz val="8"/>
        <rFont val="Arial CE"/>
        <charset val="238"/>
      </rPr>
      <t>, z toho:</t>
    </r>
  </si>
  <si>
    <t>MHSL m.r.o. , z toho:</t>
  </si>
  <si>
    <t>MHSL m.r.o., z toho:</t>
  </si>
  <si>
    <r>
      <t>Tovary a služby,</t>
    </r>
    <r>
      <rPr>
        <sz val="9"/>
        <rFont val="Arial CE"/>
        <charset val="238"/>
      </rPr>
      <t xml:space="preserve"> z toho:</t>
    </r>
  </si>
  <si>
    <t>Oprava a doplnenie nových dopr.zariadení</t>
  </si>
  <si>
    <r>
      <t>Tovary a služby</t>
    </r>
    <r>
      <rPr>
        <sz val="8"/>
        <rFont val="Arial CE"/>
        <charset val="238"/>
      </rPr>
      <t>, z toho:</t>
    </r>
  </si>
  <si>
    <t>Artkino Metro</t>
  </si>
  <si>
    <r>
      <t>MHSL m.r.o. - údržba zelene</t>
    </r>
    <r>
      <rPr>
        <sz val="8"/>
        <rFont val="Arial CE"/>
        <charset val="238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</si>
  <si>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</si>
  <si>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</si>
  <si>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charset val="238"/>
      </rPr>
      <t>, z toho:</t>
    </r>
  </si>
  <si>
    <r>
      <t>SSMT m.r.o.</t>
    </r>
    <r>
      <rPr>
        <sz val="8"/>
        <rFont val="Arial CE"/>
        <charset val="238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</si>
  <si>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</si>
  <si>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</si>
  <si>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</si>
  <si>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</si>
  <si>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</si>
  <si>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</si>
  <si>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</si>
  <si>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</si>
  <si>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</si>
  <si>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</si>
  <si>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</si>
  <si>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</si>
  <si>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</si>
  <si>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</si>
  <si>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</si>
  <si>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</si>
  <si>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</si>
  <si>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</si>
  <si>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</si>
  <si>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Civilná ochrana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</si>
  <si>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</si>
  <si>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</si>
  <si>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</si>
  <si>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</si>
  <si>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</si>
  <si>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</si>
  <si>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</si>
  <si>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</si>
  <si>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</si>
  <si>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</si>
  <si>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</si>
  <si>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</si>
  <si>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Výpočtová technicka do 1 700 €</t>
  </si>
  <si>
    <t>Údržba výpočtovej techniky</t>
  </si>
  <si>
    <t>Energie</t>
  </si>
  <si>
    <t>Prevádza pohrebísk a cintorínov</t>
  </si>
  <si>
    <t>Prevádzka VO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</si>
  <si>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</si>
  <si>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</si>
  <si>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</si>
  <si>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</si>
  <si>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Dary, kvety, pracovné obedy a pod.</t>
  </si>
  <si>
    <t>Materiál: Tlačivá, papier, etikety, obálky a pod.</t>
  </si>
  <si>
    <t>Propagácia kult.podujatí, produktov CR, kultúry</t>
  </si>
  <si>
    <t>Propagácia a prezent.mesta: Tlačoviny, suveníry, web a p.</t>
  </si>
  <si>
    <t>Energie: Elektrická energia, plyn, vodné stočné a p.</t>
  </si>
  <si>
    <t>Materiál: farba, nálepky a p.</t>
  </si>
  <si>
    <t>Služby: zúčtovateľské služby, poplatky za správu a p.</t>
  </si>
  <si>
    <t>242</t>
  </si>
  <si>
    <t>z vkladov</t>
  </si>
  <si>
    <t>Transfery - náhrada PN, odchodné</t>
  </si>
  <si>
    <t>Mzdy, platy, OOV</t>
  </si>
  <si>
    <t>Cestovné žiakom</t>
  </si>
  <si>
    <t>Transfery  - náhrada PN</t>
  </si>
  <si>
    <t>ŠJ Gymázium FUTURUM (zriaď. FUTURE n.o.)</t>
  </si>
  <si>
    <t>ŠJ ZŠ FUTURUM (zriaď. SG FUTURUM)</t>
  </si>
  <si>
    <t>Základné školy - školské jedálne:</t>
  </si>
  <si>
    <t>ŠZMT m.r.o. - materské školy:</t>
  </si>
  <si>
    <t>Súkromná MŠ Janka Kráľa (Mgr.Valachová)</t>
  </si>
  <si>
    <t>Súkromná MŠ Slimáčik (Mgr. Mildeová)</t>
  </si>
  <si>
    <t>Súkromná MŠ Orechovská (Mgr. Masariková)</t>
  </si>
  <si>
    <t xml:space="preserve">Rutinná a štand.údržba </t>
  </si>
  <si>
    <t>Materiál - medaile</t>
  </si>
  <si>
    <t>Materiál - knihy pre prvákov</t>
  </si>
  <si>
    <t>Materiál - kvety pre učiteľov</t>
  </si>
  <si>
    <t>Cestovné</t>
  </si>
  <si>
    <t>Transfery - odchodné, náhrady PN</t>
  </si>
  <si>
    <t>stravovanie zamestnanci</t>
  </si>
  <si>
    <t>Motorové vozidlo</t>
  </si>
  <si>
    <t>Certifikačný audit</t>
  </si>
  <si>
    <t xml:space="preserve"> - Združenie miest a obcí Slovenska</t>
  </si>
  <si>
    <t xml:space="preserve"> - Združenie náčelníkov MsP</t>
  </si>
  <si>
    <t xml:space="preserve">  - MDD</t>
  </si>
  <si>
    <t xml:space="preserve">  - Čaro Vianoc pod hradom</t>
  </si>
  <si>
    <t>Dohody - prevádzka KS</t>
  </si>
  <si>
    <t>Materiál, darčeky, kvety a p.</t>
  </si>
  <si>
    <t>Dopravné (PHM, opravy,známky, ....)</t>
  </si>
  <si>
    <t>Poistenie (miliónové)</t>
  </si>
  <si>
    <t>Poistenie (zákonné, havarijné)</t>
  </si>
  <si>
    <t>Nákup stavieb</t>
  </si>
  <si>
    <t xml:space="preserve">Poistenie RD </t>
  </si>
  <si>
    <t>Údržba kamerového systému</t>
  </si>
  <si>
    <t>Softvér</t>
  </si>
  <si>
    <t>Transfery - odchodné</t>
  </si>
  <si>
    <t>MHSL m.r.o. z toho:</t>
  </si>
  <si>
    <t>MHSL m.r.o. - Krytá plaváreň</t>
  </si>
  <si>
    <t xml:space="preserve">Mzdy, platy a OOV </t>
  </si>
  <si>
    <t>MHSL m.r.o. - Letná plaváreň</t>
  </si>
  <si>
    <t>z mestských lesov - stredisko Soblahov, Brezina</t>
  </si>
  <si>
    <t>zimný štadión - prenájom priestorov</t>
  </si>
  <si>
    <t>Dendrologické posudky</t>
  </si>
  <si>
    <t>Československá obchodná banka a.s. - istina z poskytnutých úverov</t>
  </si>
  <si>
    <t>Poistenie - FŠ Opatová, FŠ Na Sihoti, FŠ Záblatie</t>
  </si>
  <si>
    <t>Stavebný úrad pre Mesto Trenčín</t>
  </si>
  <si>
    <r>
      <t xml:space="preserve">F I N A N Č N É   O P E R Á C I E </t>
    </r>
    <r>
      <rPr>
        <b/>
        <i/>
        <vertAlign val="superscript"/>
        <sz val="12"/>
        <color indexed="9"/>
        <rFont val="Arial CE"/>
        <family val="2"/>
        <charset val="238"/>
      </rPr>
      <t>*</t>
    </r>
  </si>
  <si>
    <t>Rekonštrukcia strechy</t>
  </si>
  <si>
    <t xml:space="preserve">  Program 1:   Manažment a plánovanie</t>
  </si>
  <si>
    <t xml:space="preserve">  Program 2:   Propagácia a cestovný ruch </t>
  </si>
  <si>
    <t xml:space="preserve">  Program 3:   Interné služby mesta</t>
  </si>
  <si>
    <t xml:space="preserve">  Program 4:   Služby občanom</t>
  </si>
  <si>
    <t xml:space="preserve">  Program 5:   Bezpečnosť</t>
  </si>
  <si>
    <t xml:space="preserve">  Program 6:   Doprava</t>
  </si>
  <si>
    <t xml:space="preserve">  Program 7:   Vzdelávanie</t>
  </si>
  <si>
    <t xml:space="preserve">  Program 9:  Kultúra</t>
  </si>
  <si>
    <t xml:space="preserve">  Program 10: Životné prostredie</t>
  </si>
  <si>
    <t xml:space="preserve">  Program 11: Sociálne služby</t>
  </si>
  <si>
    <t xml:space="preserve">  Program 12: Rozvoj mesta a bývanie</t>
  </si>
  <si>
    <t>Miestne médiá (rozhlas)</t>
  </si>
  <si>
    <t>Ošatné, dohody a p.</t>
  </si>
  <si>
    <t>Služby: Roznos výmerov, daň</t>
  </si>
  <si>
    <t>Úroky a poplatky súvisiace s úvermi</t>
  </si>
  <si>
    <t>01.7.0.</t>
  </si>
  <si>
    <t>Kultúrne centrum seniorov</t>
  </si>
  <si>
    <t xml:space="preserve">Odb.podujatia, networking, prieskumy a p. </t>
  </si>
  <si>
    <t>Schodok kapitálového rozpočtu</t>
  </si>
  <si>
    <t>Schodok rozpočtu</t>
  </si>
  <si>
    <t>Tlmočenie, monitoring tlače, vš.služby a p.</t>
  </si>
  <si>
    <t>CVČ sv. Svorada a Benedikta</t>
  </si>
  <si>
    <t>CVČ Piaristické gymnázium J.Braneckého</t>
  </si>
  <si>
    <t xml:space="preserve"> - Pohoda festival, s.r.o. - Festival Pohoda</t>
  </si>
  <si>
    <t xml:space="preserve"> - Artfilm, n.o. - Artfilm</t>
  </si>
  <si>
    <t xml:space="preserve"> - Tanečný klub Dukla Trenčín - Laugaricio Cup</t>
  </si>
  <si>
    <t>TJ Družstevník Opatová - dotácia na prevádzku a činnosť</t>
  </si>
  <si>
    <t>OZ Trenčiansky ÚTULOK - dotácia na prevádzku a činnosť</t>
  </si>
  <si>
    <t>TJ Družstevník Záblatie - dotácia na prevádzku a činnosť</t>
  </si>
  <si>
    <t>AS Trenčín a.s. - dotácia na prevádzku a činnosť - FŠ Na Sihoti</t>
  </si>
  <si>
    <t>Spoluúčasť na výst.a intenzifikácii kanal. systémov (Opatová,Zlatovce,Orechové,Istebník)</t>
  </si>
  <si>
    <t>Udržateľnosť projektu "Môj domov - Biele Karpaty</t>
  </si>
  <si>
    <t>Poistené - posudková činnosť</t>
  </si>
  <si>
    <t>Poplatky za nocľaháreň, prenájom fasády</t>
  </si>
  <si>
    <t xml:space="preserve">Účastnícke poplatky na konferenciách </t>
  </si>
  <si>
    <t>Reprezentačné výdavky</t>
  </si>
  <si>
    <t>Zmeny a doplnky č. 1 ÚPN</t>
  </si>
  <si>
    <t xml:space="preserve"> - Združenie informatikov samospráv</t>
  </si>
  <si>
    <t>Osobné ochranné pracovné prostriedky</t>
  </si>
  <si>
    <t xml:space="preserve">  - Trenčiansky majáles</t>
  </si>
  <si>
    <t>Organizácia mestských podujatí - materiál</t>
  </si>
  <si>
    <t>Kvety, vence, reprezentačné, materiál a pod.</t>
  </si>
  <si>
    <t>Dotácie na mládež</t>
  </si>
  <si>
    <t>PROGRAM 8:  ŠPORT A MLÁDEŽ</t>
  </si>
  <si>
    <t>PROGRAM 8:   Šport a mládež</t>
  </si>
  <si>
    <t xml:space="preserve">  Program 8:  Šport a mládež</t>
  </si>
  <si>
    <t>Dotácie na výnimočné akcie</t>
  </si>
  <si>
    <t>Granty a transfery</t>
  </si>
  <si>
    <t>007</t>
  </si>
  <si>
    <t>poplatky cudzí stravníci</t>
  </si>
  <si>
    <t>Zvuková technika - drobný materiál</t>
  </si>
  <si>
    <t>MŠ Šafárikova m.r.o. od 1.1.2014</t>
  </si>
  <si>
    <t>311</t>
  </si>
  <si>
    <t>Spoluúčasť na škodových udalostiach</t>
  </si>
  <si>
    <t xml:space="preserve">MHSL m.r.o. - Stredisko Soblahov </t>
  </si>
  <si>
    <t>Transfery - náhrady počas PN</t>
  </si>
  <si>
    <t>713</t>
  </si>
  <si>
    <t>Konvektomat</t>
  </si>
  <si>
    <t xml:space="preserve">  - Farebná veža</t>
  </si>
  <si>
    <t>Slovenský zväz protifašistických bojovníkov - ZO Trenčín - 1</t>
  </si>
  <si>
    <t>Združenie kresťanských seniorov Slovenska, klub  Trenčín - mesto</t>
  </si>
  <si>
    <t>Okresná organizácia Jednoty dôchodcov na Slovensku v Trenčíne, z toho:</t>
  </si>
  <si>
    <t xml:space="preserve">   Jednota dôchodcov - ZO č.19</t>
  </si>
  <si>
    <t xml:space="preserve">   Jednota dôchodcov - ZO č.02</t>
  </si>
  <si>
    <t xml:space="preserve">   Jednota dôchodcov - ZO č.27</t>
  </si>
  <si>
    <t xml:space="preserve">   Jednota dôchodcov - ZO č.05</t>
  </si>
  <si>
    <t xml:space="preserve">   Jednota dôchodcov - ZO č.30</t>
  </si>
  <si>
    <t xml:space="preserve">   Jednota dôchodcov - ZO č.01</t>
  </si>
  <si>
    <t xml:space="preserve">   Jednota dôchodcov - ZO č.06</t>
  </si>
  <si>
    <t>Denné centrum seniorov - Záblatie</t>
  </si>
  <si>
    <t>Denné centrum seniorov - Istebník</t>
  </si>
  <si>
    <t>Denné centrum seniorov - Zlatovce</t>
  </si>
  <si>
    <t>Denné centrum seniorov - Mierové námestie</t>
  </si>
  <si>
    <t>Denné centrum seniorov - 28.októbra</t>
  </si>
  <si>
    <t>Denné centrum seniorov - Opatová</t>
  </si>
  <si>
    <t>Denné centrum seniorov - Kubra</t>
  </si>
  <si>
    <t>Denné centrum seniorov - Kubrica</t>
  </si>
  <si>
    <t>Refugium n.o. - Zvyšovanie kvality života seniorom v DSS, ZpS a pacientov v Hospici Milosrdných sestier v Trenčíne</t>
  </si>
  <si>
    <t>Poistné: Roznos výmerov</t>
  </si>
  <si>
    <t>Služby: Auditorská činnosť</t>
  </si>
  <si>
    <t>MHSL m.r.o. - Stredisko Brezina</t>
  </si>
  <si>
    <t>R O Z P O Č E T    2 0 1 5</t>
  </si>
  <si>
    <t>* - na preklenutie časového nesúladu medzi príjmami a výdavkami rozpočtu sa môže čerpať kontokorentný úver spolu vo výške  2 500 tis. € z ČSOB a.s. s tým, že do konca roka 2015 bude predmetný úver splatený</t>
  </si>
  <si>
    <t xml:space="preserve">454 001: Prevod HV za predchádzajúci rok </t>
  </si>
  <si>
    <t>Prenájom</t>
  </si>
  <si>
    <t>Príprava a tlač strategických dokumentov</t>
  </si>
  <si>
    <t>Cestovné zamestnanci</t>
  </si>
  <si>
    <t>Implementácia projektov EU</t>
  </si>
  <si>
    <t>Realizácia mestských zásahov</t>
  </si>
  <si>
    <t>Poštové a telekom.služby, internet</t>
  </si>
  <si>
    <t>Nové opláštenie kovových stánkov</t>
  </si>
  <si>
    <t>Vojnové hroby</t>
  </si>
  <si>
    <t>Doplatok straty za rok 2014</t>
  </si>
  <si>
    <t>Záloha na rok 2015</t>
  </si>
  <si>
    <t>Podchod pre peších pod Chynoranskou traťou</t>
  </si>
  <si>
    <t>Výmena riadiacich jednotiek</t>
  </si>
  <si>
    <t xml:space="preserve">  - Festival slovenských filmov v Cran - Gevrier</t>
  </si>
  <si>
    <t xml:space="preserve">  - Farmárske jarmoky</t>
  </si>
  <si>
    <t xml:space="preserve">  - Otvorenie kultúrneho leta</t>
  </si>
  <si>
    <t>Rok 2014 - november - december</t>
  </si>
  <si>
    <t>Rok 2015: jarné a jesenné upratovanie</t>
  </si>
  <si>
    <t>Rodinné prídavky</t>
  </si>
  <si>
    <t>642</t>
  </si>
  <si>
    <t>Nákup traktora</t>
  </si>
  <si>
    <t>Konvektomat, umývačka riadu</t>
  </si>
  <si>
    <t>2 ks kombinovaný sporák</t>
  </si>
  <si>
    <t>Kombinovaný sporák, plynová panvica</t>
  </si>
  <si>
    <t>El.sporák</t>
  </si>
  <si>
    <t>Školenia</t>
  </si>
  <si>
    <t>MHSL m.r.o. :</t>
  </si>
  <si>
    <t>Ul.Opatovská - vybudovanie chodníka</t>
  </si>
  <si>
    <t>Rekonšt.ul.Šafárikova a dobudovanie stat.dopravy</t>
  </si>
  <si>
    <t>Vybavenie kuchyne</t>
  </si>
  <si>
    <t>Ostatné</t>
  </si>
  <si>
    <t>Granty</t>
  </si>
  <si>
    <t>Transfery - odchodné, PN</t>
  </si>
  <si>
    <t>Materiál: PC, Občerstvenie a pod.</t>
  </si>
  <si>
    <t>výmena okien</t>
  </si>
  <si>
    <t>01.1.1.</t>
  </si>
  <si>
    <t>08.2.0.</t>
  </si>
  <si>
    <t>10.7.0.</t>
  </si>
  <si>
    <t>10.9.0.</t>
  </si>
  <si>
    <t>10.2.0.</t>
  </si>
  <si>
    <t>10.1.2.</t>
  </si>
  <si>
    <t>10.4.0.</t>
  </si>
  <si>
    <t xml:space="preserve">MESTSKÉ HOSPODÁRSTVO a SPRÁVA LESOV m.r.o. </t>
  </si>
  <si>
    <t>Centrum voľného času m.r.o.</t>
  </si>
  <si>
    <t>MŠ Šafáriková m.r.o.</t>
  </si>
  <si>
    <t>09.6.0.</t>
  </si>
  <si>
    <t>Hardver</t>
  </si>
  <si>
    <t>Softver</t>
  </si>
  <si>
    <t>Europrojekty - žiadosti, správy a p.</t>
  </si>
  <si>
    <t>Stroj na výtlky</t>
  </si>
  <si>
    <t>Auto s plošinou</t>
  </si>
  <si>
    <t>09.2.1.1.</t>
  </si>
  <si>
    <t>Nižšie sekundárne vzdel. s bežnou star. (II.stupeň ZŠ)</t>
  </si>
  <si>
    <t>Primárne vzdelávanie s bežnou star. (I.stupeň ZŠ)</t>
  </si>
  <si>
    <t>09.6.0.2.</t>
  </si>
  <si>
    <t>09.6.0.3.</t>
  </si>
  <si>
    <t>Vedľajšie služby v rámci nižšieho sekund.vz. (II.st. ZŠ)</t>
  </si>
  <si>
    <t>Vedľajšie služby v rámci primárneho vz. (I.st. ZŠ)</t>
  </si>
  <si>
    <t>REZERVA</t>
  </si>
  <si>
    <t>Kultúrne strediská</t>
  </si>
  <si>
    <t>Bočkove sady - odvodnenie</t>
  </si>
  <si>
    <t>Odvodnenie MK Niva</t>
  </si>
  <si>
    <t>MHSL m.r.o.  z toho:</t>
  </si>
  <si>
    <t>Mladý záchranár (leto)</t>
  </si>
  <si>
    <t>Grafikon MHD</t>
  </si>
  <si>
    <t>Trafostanica - prekládka</t>
  </si>
  <si>
    <t>Dopravné značenie Ul. Zlatovská</t>
  </si>
  <si>
    <t>Príprava projektov EU</t>
  </si>
  <si>
    <t>Rekonštrukcia časti strechy Mier.námestie č.2</t>
  </si>
  <si>
    <t>Kotolňa - búracie práce</t>
  </si>
  <si>
    <t>PD Trafostanica</t>
  </si>
  <si>
    <t>Podnájom priestorov v športovej hale</t>
  </si>
  <si>
    <t>Spracovanie ÚPN do GIS</t>
  </si>
  <si>
    <t>Aktualizácia katastrálnych máp, technickej mapy mesta, pasporty</t>
  </si>
  <si>
    <t>513 002: Prijatie bankového úveru</t>
  </si>
  <si>
    <t>Architektonické štúdie</t>
  </si>
  <si>
    <t xml:space="preserve">Poplatok za komunálny odpad </t>
  </si>
  <si>
    <t>Služby: poistenie, reklama, štúdie, posudky a p.</t>
  </si>
  <si>
    <t>Služby: posudky, reklama, kolky, poistenie a p.</t>
  </si>
  <si>
    <t>PD - Cykl.prepojenie Centrum - sídlisko Juh</t>
  </si>
  <si>
    <t>Rek.križovatky Šmidkeho Halašu Novomeského</t>
  </si>
  <si>
    <t>2 ks umývačky riadu</t>
  </si>
  <si>
    <t>Rozpočet 2015</t>
  </si>
  <si>
    <t>Bežný rozpočet 2015</t>
  </si>
  <si>
    <t>Kapitálový rozpočet 2015</t>
  </si>
  <si>
    <t>PROGRAM 1: MANAŽMENT a PLÁNOVANIE</t>
  </si>
  <si>
    <t>MHSL</t>
  </si>
  <si>
    <t>Mesto</t>
  </si>
  <si>
    <t>Upravený rozpočet 2015</t>
  </si>
  <si>
    <t>z prenájmu krytej a letnej plavárne</t>
  </si>
  <si>
    <t>Chladnička</t>
  </si>
  <si>
    <t>Elektrická smažička</t>
  </si>
  <si>
    <t>Plynový sporák s el.rúrou</t>
  </si>
  <si>
    <t>2 ks plyn.sporáky s elek.rúrou, robot, parný kotol</t>
  </si>
  <si>
    <t xml:space="preserve">Plynový sporák s el.rúrou, chladnička, mraznička </t>
  </si>
  <si>
    <t>Elektrická panvica</t>
  </si>
  <si>
    <t>Odvoz vedľajších živočíšnych produktov</t>
  </si>
  <si>
    <t>Dotácia KC Aktivity, o.z.</t>
  </si>
  <si>
    <t>Dotácia KC Stred, o.z.</t>
  </si>
  <si>
    <t>821 005 - Splácanie istín z dohôd o reštrukturalizácii dlhu</t>
  </si>
  <si>
    <t>Československá obchodná banka a.s. - istina z dohody o reštrukturalizácii dlhu</t>
  </si>
  <si>
    <t>Československá obchodná banka a.s. - splátky verejného dlhu</t>
  </si>
  <si>
    <t>Slovenská sporiteľňa a.s. - istina z dohody o reštrukturalizácii dlhu</t>
  </si>
  <si>
    <t xml:space="preserve"> - TJ Družstevník Záblatie - dotácia na činnosť klubu</t>
  </si>
  <si>
    <t xml:space="preserve"> - TJ Družstevník Opatová - dotácia na činnosť klubu</t>
  </si>
  <si>
    <t>DHZ Opatová - činnosť dobrovoľného hasičského zboru</t>
  </si>
  <si>
    <t>DHZ Záblatie - činnosť dobrovoľného hasičského zboru</t>
  </si>
  <si>
    <t>DHZ Kubrica - činnosť dobrovoľného hasičského zboru</t>
  </si>
  <si>
    <t>Dary, sponzorské</t>
  </si>
  <si>
    <t>PD - Priechod pre chodcov ul.Hodžova</t>
  </si>
  <si>
    <t>Priechod pre chodcov ul. Hodžova</t>
  </si>
  <si>
    <t>Chodník na ul. Karpatská</t>
  </si>
  <si>
    <t>PD Nozdrkovský chodník v úseku ČOV</t>
  </si>
  <si>
    <t xml:space="preserve">Rekonštrukcia   </t>
  </si>
  <si>
    <t>TJ Družstevník Opatová - energie</t>
  </si>
  <si>
    <t xml:space="preserve"> - Hala, o.z. - HALA 2015</t>
  </si>
  <si>
    <t xml:space="preserve"> - FS Nadšenci o.z. - 8.Tanečný dom v Trenčíne</t>
  </si>
  <si>
    <t xml:space="preserve"> - AS Trenčín a.s. - Hviezdy deťom</t>
  </si>
  <si>
    <t xml:space="preserve"> - HoryZonty o.z. - HoryZonty</t>
  </si>
  <si>
    <t xml:space="preserve"> - Beňadik n.f. - Mariánsky koncert</t>
  </si>
  <si>
    <t xml:space="preserve"> - Kolomaž o.z. - Sám na javisku</t>
  </si>
  <si>
    <t xml:space="preserve"> - Klub priateľov vážnej hudby v Trenčín o.z. - Múzy pod hradom</t>
  </si>
  <si>
    <t>PD - športový areál</t>
  </si>
  <si>
    <t>Referendum 2015</t>
  </si>
  <si>
    <t xml:space="preserve"> - pozemky</t>
  </si>
  <si>
    <t>231</t>
  </si>
  <si>
    <t>Príjem z predaja budov</t>
  </si>
  <si>
    <t xml:space="preserve"> - príjem z predaja domov - MŽT</t>
  </si>
  <si>
    <t xml:space="preserve"> - príjem z predaja bytov</t>
  </si>
  <si>
    <t>Vrátenie nevyčerpaného grantu z roku 2014</t>
  </si>
  <si>
    <t>Dom smútku Juh - rekonštr.a zateplenie strechy</t>
  </si>
  <si>
    <t>MČ Západ - rozšírenie cintorína Zlatovce</t>
  </si>
  <si>
    <t>MČ Sever - rekonštrukcia rozhlasu v Kubrej</t>
  </si>
  <si>
    <t>Nozdrkovský chodník</t>
  </si>
  <si>
    <t>MČ Juh - ul.Novomeského - rekonštrukcia MK</t>
  </si>
  <si>
    <t>MČ Juh - ul.Šafárikova - Liptovská</t>
  </si>
  <si>
    <t>MČ Juh - ul.Kyjevská - stanovištia pre smetné nádoby</t>
  </si>
  <si>
    <t>MČ Juh - ul. Západná - PD rekonštrukcia MK</t>
  </si>
  <si>
    <t>MČ Juh - ul. Západná - rekonštrukcia MK</t>
  </si>
  <si>
    <t>MČ Juh - ul. Východná - PD chodník</t>
  </si>
  <si>
    <t>MČ Juh - ul. Šafárikova - PD parkovanie</t>
  </si>
  <si>
    <t>MČ Juh - ul. Novomeského  - rekonštrukcia</t>
  </si>
  <si>
    <t>MČ Juh - Halalovka - chodník</t>
  </si>
  <si>
    <t>MČ Juh - Saratovská  - PD chodník</t>
  </si>
  <si>
    <t>MČ Juh - Saratovská  - PD parkovanie</t>
  </si>
  <si>
    <t>MČ Juh - Východná - chodník</t>
  </si>
  <si>
    <t>MČ Juh - M.Bela - Halalovka - priechod pre chodcov</t>
  </si>
  <si>
    <t>MČ Sever - Pod Sokolice - rekonštrukcia</t>
  </si>
  <si>
    <t>MČ Sever - Gen.Viesta - chodník</t>
  </si>
  <si>
    <t xml:space="preserve">MČ Sever - PD Šoltésovej </t>
  </si>
  <si>
    <t>MČ Sever - ul. I.Krasku - parkovanie</t>
  </si>
  <si>
    <t>MČ Sever - Opatovská + Žilinská</t>
  </si>
  <si>
    <t>MČ Stred - Pod Komárky - rekonštrukcia</t>
  </si>
  <si>
    <t>MČ Stred - PD Pod Komárky - rekonštrukcia</t>
  </si>
  <si>
    <t>MČ Západ - ul. Jahodová - nová komunikácia</t>
  </si>
  <si>
    <t>Nevyčerpaná dotácia z roku 2014</t>
  </si>
  <si>
    <t>strecha + múr</t>
  </si>
  <si>
    <t>MČ Západ - Futbalové ihrisko Záblatie</t>
  </si>
  <si>
    <t>Vrátenie nevyčerpanej dotácie z roku 2014</t>
  </si>
  <si>
    <t>Nevyčerpané fin.prostriedky z roku 2014</t>
  </si>
  <si>
    <t>453: Nevyčerpaná dotácia za rok 2014</t>
  </si>
  <si>
    <t>513: Prijatie dlhodobého účelového úveru</t>
  </si>
  <si>
    <t>Československá obchodná banka a.s. - splatenie úveru</t>
  </si>
  <si>
    <t>PD - rekonštrukcia strechy</t>
  </si>
  <si>
    <t>MČ Sever - údržba povrchu hrádze</t>
  </si>
  <si>
    <t>MČ Stred -PD  rekonštrukcia detského ihriska na Karpatskej ul.</t>
  </si>
  <si>
    <t>MČ Stred - rekonštr. Priechodu pre chodcov na Ul.Legionárska pri Perle,na Ul.Soblahovská pri cintoríne, na Ul.Piaristická pri poliklinike</t>
  </si>
  <si>
    <t>MČ Stred - PD - priechod pre chodcov na Ul.Súdna</t>
  </si>
  <si>
    <t>MČ Stred - rekonštr.schodov na ul.Cintorínska a Nová</t>
  </si>
  <si>
    <t>MČ Stred - rekonštr. chodníka na Nám.sv.Anny</t>
  </si>
  <si>
    <t>MČ Stred - Čerešňový sad v lesoparku Brezina</t>
  </si>
  <si>
    <t>MČ Stred -rekonštrukcia domu smútku v Biskupiciach</t>
  </si>
  <si>
    <t>MČ Stred - MŠ Soblahovská-úprava soc.zariadení</t>
  </si>
  <si>
    <t>MČ Stred - rekonštrukcia umyvárky pre deti</t>
  </si>
  <si>
    <t>MČ Juh - sociálne zariadenia</t>
  </si>
  <si>
    <t>IA úver</t>
  </si>
  <si>
    <t>PD - Rek.križovatky Šmidkeho Halašu Novomeského</t>
  </si>
  <si>
    <t>Dar na MDD</t>
  </si>
  <si>
    <t>TJ Družstevník Záblatie -energie</t>
  </si>
  <si>
    <t>Ora et ars</t>
  </si>
  <si>
    <t>MČ Sever - PD na dopravné značenie MK Žilinská</t>
  </si>
  <si>
    <t>PD - Rozšírenie cintorína v Zlatovciach (MČ Západ 988 €)</t>
  </si>
  <si>
    <t>Poistné do poisťovní - roznos dotazníkov</t>
  </si>
  <si>
    <t xml:space="preserve"> - AS Trenčín, a.s. - projekcia športového zápasu a ukončenie najvyššej futbalovej súťaže</t>
  </si>
  <si>
    <t xml:space="preserve"> - Hádzanársky klub Štart o.z. - Oslavy 90 rokov hádzanej v Trenčíne</t>
  </si>
  <si>
    <t xml:space="preserve"> - Kraso Trenčín o.z.: činnosť</t>
  </si>
  <si>
    <t>Klimatizácia podkrovie Mierové nám.č.2</t>
  </si>
  <si>
    <t>Valec k stroju na výtlky</t>
  </si>
  <si>
    <t>Rekonštrukcia Mierového námestia</t>
  </si>
  <si>
    <t xml:space="preserve">MČ Stred - rekonštrukcia  </t>
  </si>
  <si>
    <t>Zimný štadion - rekonštrukcia šatní</t>
  </si>
  <si>
    <t>Ul.Soblahovská- betónová zástena pri smet.nádobách</t>
  </si>
  <si>
    <t>MČ Stred -rekonštrukcia detského ihriska na Karpatskej ul.</t>
  </si>
  <si>
    <t>Kastrácia túlavých mačiek</t>
  </si>
  <si>
    <t>Rozšírenie a modernizácia kamer.systému Mestskej polície v Trenčíne</t>
  </si>
  <si>
    <t>Dotácia MK SR - Pri trenčianskej bráne</t>
  </si>
  <si>
    <t>Dotácia MK SR - Ora et Ars</t>
  </si>
  <si>
    <t>Dotácia MK SR - Farebná veža</t>
  </si>
  <si>
    <t>09.5.0</t>
  </si>
  <si>
    <t xml:space="preserve"> - SHŠ Wagus, n.o.  -  Trenčianske historické slávnosti</t>
  </si>
  <si>
    <t>Dotácia KC Kubra, o.z.</t>
  </si>
  <si>
    <t>Príspevok obyvateľovi mesta na sociálnu službu</t>
  </si>
  <si>
    <t>Stavebná, bežná a zimná údržba</t>
  </si>
  <si>
    <t>Rok 2015 - január - október</t>
  </si>
  <si>
    <t>MČ Sever - PD ul. I.Krasku - parkovanie</t>
  </si>
  <si>
    <t>PD: MŠ Legionárska rozšírenie</t>
  </si>
  <si>
    <t>Športový areál</t>
  </si>
  <si>
    <t>Rímskokatolícka cirkev Farnosť Trenčín - Orechové: dotáca na opravu dažďovej kanalizácie pred kostolom v Orechovom</t>
  </si>
  <si>
    <t>Rekonštrukcia komunikácií, obrubníkov  a odvodnenia cintorína na Juhu</t>
  </si>
  <si>
    <t>Śtúdia modernizácie VO v meste</t>
  </si>
  <si>
    <t>322</t>
  </si>
  <si>
    <t>Dotácia z MV SR - rozšírenie a modernizácia kamerového systému MsP</t>
  </si>
  <si>
    <t>006</t>
  </si>
  <si>
    <t>z dobropisov</t>
  </si>
  <si>
    <t>017</t>
  </si>
  <si>
    <t>vratky</t>
  </si>
  <si>
    <t>019</t>
  </si>
  <si>
    <t>príjmy z dobropisov</t>
  </si>
  <si>
    <t>príjmy z vratiek</t>
  </si>
  <si>
    <t>príjmy z refundácie</t>
  </si>
  <si>
    <t>príjmy z darov</t>
  </si>
  <si>
    <t>Židovská náboženská obec Trenčín - dotácia na opravu strechy Trenčianskej synagógy</t>
  </si>
  <si>
    <t>Dar pri Trenčianskej bráne</t>
  </si>
  <si>
    <t>rekonštrukcia strechy pavilónov 1.-3.</t>
  </si>
  <si>
    <t>výmena dverí</t>
  </si>
  <si>
    <t>Dotácia pre deti v hmotnej núdzi</t>
  </si>
  <si>
    <t>641</t>
  </si>
  <si>
    <t>Transfer Spojenej škole internátnej V.Predmerského</t>
  </si>
  <si>
    <t>Prídavné podium</t>
  </si>
  <si>
    <t>nákup traktora s nakladačom</t>
  </si>
  <si>
    <t>Hokejový klub Dukla Trenčín a.s. - dotácia na činnosť klubu</t>
  </si>
  <si>
    <t>Refugium n.o. - na zabezpečenie starostlivosti o nevyliečeteľne chorých a zomierajúcich v Hospici Milosrdných sestier v Trenčíne</t>
  </si>
  <si>
    <t>MČ Juh - ul.Šafárikova pod ZŠ statická doprava</t>
  </si>
  <si>
    <t xml:space="preserve"> - Trenčan, folklórny súbor Gymnázia Ľ.Štúra - Krst CD kolied</t>
  </si>
  <si>
    <t>Transfery - PN</t>
  </si>
  <si>
    <t>Dotácie na šport a mládež</t>
  </si>
  <si>
    <t>Transfer - Implementačná agentúra MPSVaR SR</t>
  </si>
  <si>
    <t>714</t>
  </si>
  <si>
    <t>Nákup osobného automobilu</t>
  </si>
  <si>
    <t>Členské do OOCR</t>
  </si>
  <si>
    <t>NFP z MH SR - Komplexná modernizácia VO v meste Trenčín</t>
  </si>
  <si>
    <t>Štúdia a meranie v rámci komplexnej modernizácie časti VO v meste Trenčín</t>
  </si>
  <si>
    <t>Komplexná modernizácia časti VO v meste Trenčín</t>
  </si>
  <si>
    <t>Z náhrad poistného plnenia MŠ Turkovej</t>
  </si>
  <si>
    <t xml:space="preserve"> - ZŠ Na Dolinách</t>
  </si>
  <si>
    <t>Nájom</t>
  </si>
  <si>
    <t>AS Trenčín a.s. - dotácia na činnosť mládeže</t>
  </si>
  <si>
    <t>MČ Stred - rekonštrukcia zábradlia a dažďových odtokov na chodníku smerom od átria do Čerešňového sadu</t>
  </si>
  <si>
    <t>Dotácia z Envirofondu</t>
  </si>
  <si>
    <t>Sanácia miest s nezákonne umiestneným odpadom</t>
  </si>
  <si>
    <t>Dar Čaro Vianoc</t>
  </si>
  <si>
    <t>Plnenie Programového rozpočtu Mesta Trenčín k 31.12.2015</t>
  </si>
  <si>
    <t>Plnenie rozpočtu k 31.12.2015</t>
  </si>
  <si>
    <t>% plnenia</t>
  </si>
  <si>
    <t>za prebytočný hnuteľný majetok</t>
  </si>
  <si>
    <t>VPP</t>
  </si>
  <si>
    <t>Dotácia MŠ Legionárska</t>
  </si>
  <si>
    <t>mzdy, poistné, tovary a služby</t>
  </si>
  <si>
    <t>vzdelávacie poukazy</t>
  </si>
  <si>
    <t>Dotácia na životné prostredie</t>
  </si>
  <si>
    <t>asistenti učiteľov</t>
  </si>
  <si>
    <t>doprava</t>
  </si>
  <si>
    <t>mimoriadne výsledky</t>
  </si>
  <si>
    <t>žiaci zo sociálne znevýhodneného prostredia</t>
  </si>
  <si>
    <t>príspevok na učebnice</t>
  </si>
  <si>
    <t>Švajčiarsky finančný mechanizmus</t>
  </si>
  <si>
    <t>Dotácia na rekonštrukciu MŠ Legionárska</t>
  </si>
  <si>
    <t>Envipak</t>
  </si>
  <si>
    <r>
      <t xml:space="preserve">Rozpočet 2015                              - </t>
    </r>
    <r>
      <rPr>
        <b/>
        <sz val="8"/>
        <color indexed="9"/>
        <rFont val="Arial CE"/>
        <charset val="238"/>
      </rPr>
      <t xml:space="preserve">bežné výdavky   </t>
    </r>
  </si>
  <si>
    <t>Plnenie bežného rozpočtu k 31.12.2015</t>
  </si>
  <si>
    <r>
      <t>Rozpočet 2015 -</t>
    </r>
    <r>
      <rPr>
        <b/>
        <sz val="8"/>
        <color indexed="9"/>
        <rFont val="Arial CE"/>
        <charset val="238"/>
      </rPr>
      <t xml:space="preserve"> kapitálové výdavky</t>
    </r>
  </si>
  <si>
    <t>Plnenie kapitálového rozpočtu k 31.12.2015</t>
  </si>
  <si>
    <t>Rozpočet 2016</t>
  </si>
  <si>
    <t>027</t>
  </si>
  <si>
    <t>úroky z domácich úverov,pôžičiek a vkladov</t>
  </si>
  <si>
    <t>za stravné</t>
  </si>
  <si>
    <t>455: Odplata za postúpenú pohľadávku</t>
  </si>
  <si>
    <t>Hmotná núdza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</si>
</sst>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0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 CE"/>
      <charset val="238"/>
    </font>
    <font>
      <b/>
      <sz val="14"/>
      <color indexed="9"/>
      <name val="Arial CE"/>
      <charset val="238"/>
    </font>
    <font>
      <b/>
      <sz val="11"/>
      <color indexed="9"/>
      <name val="Arial CE"/>
      <charset val="238"/>
    </font>
    <font>
      <b/>
      <sz val="12"/>
      <name val="Arial CE"/>
      <family val="2"/>
      <charset val="238"/>
    </font>
    <font>
      <sz val="8"/>
      <color indexed="9"/>
      <name val="Arial CE"/>
      <charset val="238"/>
    </font>
    <font>
      <b/>
      <sz val="22"/>
      <color indexed="18"/>
      <name val="Tahoma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12"/>
      <color indexed="9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i/>
      <sz val="14"/>
      <color indexed="9"/>
      <name val="Arial CE"/>
      <family val="2"/>
      <charset val="238"/>
    </font>
    <font>
      <sz val="14"/>
      <color indexed="9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i/>
      <sz val="12"/>
      <color indexed="9"/>
      <name val="Arial CE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b/>
      <sz val="10"/>
      <color indexed="18"/>
      <name val="Arial CE"/>
      <charset val="238"/>
    </font>
    <font>
      <sz val="8"/>
      <color indexed="9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b/>
      <sz val="9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family val="2"/>
      <charset val="238"/>
    </font>
    <font>
      <b/>
      <i/>
      <sz val="14"/>
      <color indexed="9"/>
      <name val="Arial CE"/>
      <family val="2"/>
      <charset val="238"/>
    </font>
    <font>
      <b/>
      <i/>
      <sz val="16"/>
      <color indexed="9"/>
      <name val="Arial CE"/>
      <family val="2"/>
      <charset val="238"/>
    </font>
    <font>
      <b/>
      <sz val="16"/>
      <color indexed="9"/>
      <name val="Arial CE"/>
      <family val="2"/>
      <charset val="238"/>
    </font>
    <font>
      <b/>
      <sz val="11"/>
      <color indexed="9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color indexed="9"/>
      <name val="Arial CE"/>
      <charset val="238"/>
    </font>
    <font>
      <b/>
      <sz val="20"/>
      <color indexed="18"/>
      <name val="Arial CE"/>
      <family val="2"/>
      <charset val="238"/>
    </font>
    <font>
      <sz val="20"/>
      <color indexed="18"/>
      <name val="Arial CE"/>
      <family val="2"/>
      <charset val="238"/>
    </font>
    <font>
      <sz val="12"/>
      <color indexed="9"/>
      <name val="Arial"/>
      <family val="2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b/>
      <i/>
      <sz val="11"/>
      <color indexed="9"/>
      <name val="Arial CE"/>
      <charset val="238"/>
    </font>
    <font>
      <b/>
      <i/>
      <sz val="9"/>
      <color indexed="56"/>
      <name val="Arial"/>
      <family val="2"/>
      <charset val="238"/>
    </font>
    <font>
      <sz val="11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8"/>
      <name val="Tahoma"/>
      <family val="2"/>
      <charset val="238"/>
    </font>
    <font>
      <b/>
      <i/>
      <vertAlign val="superscript"/>
      <sz val="12"/>
      <color indexed="9"/>
      <name val="Arial CE"/>
      <family val="2"/>
      <charset val="238"/>
    </font>
    <font>
      <b/>
      <sz val="16"/>
      <color indexed="30"/>
      <name val="Arial Black"/>
      <family val="2"/>
      <charset val="238"/>
    </font>
    <font>
      <b/>
      <sz val="16"/>
      <color indexed="18"/>
      <name val="Tahoma"/>
      <family val="2"/>
      <charset val="238"/>
    </font>
    <font>
      <i/>
      <sz val="8"/>
      <name val="Arial CE"/>
      <charset val="238"/>
    </font>
    <font>
      <b/>
      <i/>
      <sz val="11"/>
      <name val="Arial CE"/>
      <charset val="238"/>
    </font>
    <font>
      <b/>
      <sz val="12"/>
      <color indexed="18"/>
      <name val="Tahoma"/>
      <family val="2"/>
      <charset val="238"/>
    </font>
    <font>
      <b/>
      <sz val="20"/>
      <color indexed="12"/>
      <name val="Tahoma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 CE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b/>
      <sz val="20"/>
      <color rgb="FF000080"/>
      <name val="Tahoma"/>
      <family val="2"/>
      <charset val="238"/>
    </font>
    <font>
      <b/>
      <i/>
      <sz val="12"/>
      <color theme="0"/>
      <name val="Arial CE"/>
      <family val="2"/>
      <charset val="238"/>
    </font>
    <font>
      <b/>
      <sz val="10"/>
      <color rgb="FFFF0000"/>
      <name val="Arial CE"/>
      <charset val="238"/>
    </font>
    <font>
      <sz val="8"/>
      <color indexed="8"/>
      <name val="Arial CE"/>
      <family val="2"/>
      <charset val="238"/>
    </font>
    <font>
      <sz val="8"/>
      <color theme="0"/>
      <name val="Arial CE"/>
      <charset val="238"/>
    </font>
    <font>
      <b/>
      <sz val="7"/>
      <name val="Arial CE"/>
      <charset val="238"/>
    </font>
    <font>
      <sz val="7"/>
      <name val="Arial"/>
      <family val="2"/>
      <charset val="238"/>
    </font>
    <font>
      <b/>
      <sz val="22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b/>
      <i/>
      <sz val="7"/>
      <name val="Arial CE"/>
      <charset val="238"/>
    </font>
    <font>
      <sz val="7"/>
      <name val="Arial CE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84" fillId="0" borderId="0"/>
  </cellStyleXfs>
  <cellXfs count="1181"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3" fontId="0" fillId="0" borderId="0" xfId="0" applyNumberFormat="1"/>
    <xf numFmtId="0" fontId="4" fillId="2" borderId="2" xfId="0" applyFont="1" applyFill="1" applyBorder="1"/>
    <xf numFmtId="0" fontId="0" fillId="0" borderId="0" xfId="0" applyBorder="1"/>
    <xf numFmtId="3" fontId="4" fillId="0" borderId="0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27" fillId="3" borderId="5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27" fillId="3" borderId="6" xfId="0" applyFont="1" applyFill="1" applyBorder="1" applyAlignment="1"/>
    <xf numFmtId="0" fontId="0" fillId="0" borderId="0" xfId="0" applyFill="1" applyBorder="1"/>
    <xf numFmtId="49" fontId="3" fillId="0" borderId="1" xfId="0" applyNumberFormat="1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7" fillId="3" borderId="8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0" fontId="3" fillId="0" borderId="0" xfId="0" applyFont="1" applyBorder="1"/>
    <xf numFmtId="0" fontId="4" fillId="2" borderId="6" xfId="0" applyFont="1" applyFill="1" applyBorder="1"/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6" xfId="0" applyFont="1" applyFill="1" applyBorder="1"/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3" fillId="2" borderId="6" xfId="0" applyFont="1" applyFill="1" applyBorder="1"/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7" fillId="0" borderId="6" xfId="0" applyFont="1" applyBorder="1"/>
    <xf numFmtId="0" fontId="3" fillId="0" borderId="6" xfId="0" applyFont="1" applyBorder="1"/>
    <xf numFmtId="49" fontId="4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7" fillId="0" borderId="6" xfId="0" applyFont="1" applyFill="1" applyBorder="1"/>
    <xf numFmtId="49" fontId="18" fillId="2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4" fillId="0" borderId="6" xfId="0" applyFont="1" applyBorder="1"/>
    <xf numFmtId="0" fontId="3" fillId="0" borderId="5" xfId="0" applyFont="1" applyBorder="1"/>
    <xf numFmtId="49" fontId="18" fillId="2" borderId="1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7" fillId="0" borderId="5" xfId="0" applyFont="1" applyBorder="1"/>
    <xf numFmtId="0" fontId="3" fillId="0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3" fillId="0" borderId="6" xfId="0" applyNumberFormat="1" applyFont="1" applyFill="1" applyBorder="1"/>
    <xf numFmtId="0" fontId="6" fillId="0" borderId="6" xfId="0" applyFont="1" applyFill="1" applyBorder="1"/>
    <xf numFmtId="0" fontId="6" fillId="2" borderId="5" xfId="0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4" fillId="2" borderId="6" xfId="0" applyFont="1" applyFill="1" applyBorder="1"/>
    <xf numFmtId="0" fontId="1" fillId="0" borderId="0" xfId="0" applyFont="1" applyBorder="1" applyAlignment="1">
      <alignment horizontal="center"/>
    </xf>
    <xf numFmtId="0" fontId="3" fillId="0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47" fillId="5" borderId="13" xfId="0" applyFont="1" applyFill="1" applyBorder="1"/>
    <xf numFmtId="49" fontId="48" fillId="5" borderId="9" xfId="0" applyNumberFormat="1" applyFont="1" applyFill="1" applyBorder="1" applyAlignment="1">
      <alignment horizontal="center"/>
    </xf>
    <xf numFmtId="0" fontId="47" fillId="5" borderId="0" xfId="0" applyFont="1" applyFill="1" applyBorder="1"/>
    <xf numFmtId="0" fontId="47" fillId="5" borderId="9" xfId="0" applyFont="1" applyFill="1" applyBorder="1"/>
    <xf numFmtId="0" fontId="47" fillId="5" borderId="14" xfId="0" applyFont="1" applyFill="1" applyBorder="1"/>
    <xf numFmtId="49" fontId="48" fillId="5" borderId="15" xfId="0" applyNumberFormat="1" applyFont="1" applyFill="1" applyBorder="1" applyAlignment="1">
      <alignment horizontal="center"/>
    </xf>
    <xf numFmtId="49" fontId="48" fillId="5" borderId="16" xfId="0" applyNumberFormat="1" applyFont="1" applyFill="1" applyBorder="1" applyAlignment="1">
      <alignment horizontal="center"/>
    </xf>
    <xf numFmtId="0" fontId="49" fillId="5" borderId="17" xfId="0" applyFont="1" applyFill="1" applyBorder="1"/>
    <xf numFmtId="0" fontId="47" fillId="5" borderId="15" xfId="0" applyFont="1" applyFill="1" applyBorder="1"/>
    <xf numFmtId="3" fontId="13" fillId="0" borderId="0" xfId="0" applyNumberFormat="1" applyFont="1" applyFill="1" applyBorder="1" applyAlignment="1"/>
    <xf numFmtId="0" fontId="3" fillId="0" borderId="10" xfId="0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2" xfId="0" applyFont="1" applyFill="1" applyBorder="1"/>
    <xf numFmtId="49" fontId="18" fillId="0" borderId="1" xfId="0" applyNumberFormat="1" applyFont="1" applyFill="1" applyBorder="1" applyAlignment="1">
      <alignment horizontal="center"/>
    </xf>
    <xf numFmtId="49" fontId="50" fillId="6" borderId="1" xfId="0" applyNumberFormat="1" applyFont="1" applyFill="1" applyBorder="1" applyAlignment="1">
      <alignment horizontal="center"/>
    </xf>
    <xf numFmtId="49" fontId="50" fillId="6" borderId="2" xfId="0" applyNumberFormat="1" applyFont="1" applyFill="1" applyBorder="1" applyAlignment="1">
      <alignment horizontal="center"/>
    </xf>
    <xf numFmtId="0" fontId="51" fillId="6" borderId="19" xfId="0" applyFont="1" applyFill="1" applyBorder="1"/>
    <xf numFmtId="0" fontId="3" fillId="2" borderId="20" xfId="0" applyFont="1" applyFill="1" applyBorder="1" applyAlignment="1">
      <alignment horizontal="center"/>
    </xf>
    <xf numFmtId="49" fontId="50" fillId="6" borderId="21" xfId="0" applyNumberFormat="1" applyFont="1" applyFill="1" applyBorder="1" applyAlignment="1">
      <alignment horizontal="center"/>
    </xf>
    <xf numFmtId="49" fontId="50" fillId="6" borderId="22" xfId="0" applyNumberFormat="1" applyFont="1" applyFill="1" applyBorder="1" applyAlignment="1">
      <alignment horizontal="center"/>
    </xf>
    <xf numFmtId="0" fontId="51" fillId="6" borderId="22" xfId="0" applyFont="1" applyFill="1" applyBorder="1"/>
    <xf numFmtId="0" fontId="2" fillId="2" borderId="18" xfId="0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0" fontId="34" fillId="7" borderId="17" xfId="0" applyFont="1" applyFill="1" applyBorder="1" applyAlignment="1"/>
    <xf numFmtId="3" fontId="6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vertical="center"/>
    </xf>
    <xf numFmtId="0" fontId="19" fillId="8" borderId="5" xfId="0" applyFont="1" applyFill="1" applyBorder="1"/>
    <xf numFmtId="0" fontId="15" fillId="8" borderId="6" xfId="0" applyFont="1" applyFill="1" applyBorder="1"/>
    <xf numFmtId="0" fontId="11" fillId="2" borderId="5" xfId="0" applyFont="1" applyFill="1" applyBorder="1" applyAlignment="1"/>
    <xf numFmtId="0" fontId="28" fillId="0" borderId="0" xfId="0" applyFont="1"/>
    <xf numFmtId="0" fontId="0" fillId="2" borderId="25" xfId="0" applyFill="1" applyBorder="1"/>
    <xf numFmtId="3" fontId="13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0" fontId="16" fillId="2" borderId="26" xfId="0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0" fontId="31" fillId="7" borderId="27" xfId="0" applyFont="1" applyFill="1" applyBorder="1" applyAlignment="1">
      <alignment horizontal="left" vertical="center"/>
    </xf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40" fillId="9" borderId="28" xfId="0" applyFont="1" applyFill="1" applyBorder="1" applyAlignment="1"/>
    <xf numFmtId="0" fontId="39" fillId="9" borderId="6" xfId="0" applyFont="1" applyFill="1" applyBorder="1" applyAlignment="1"/>
    <xf numFmtId="0" fontId="3" fillId="11" borderId="2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righ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3" fontId="21" fillId="11" borderId="29" xfId="0" applyNumberFormat="1" applyFont="1" applyFill="1" applyBorder="1"/>
    <xf numFmtId="0" fontId="35" fillId="0" borderId="0" xfId="0" applyFont="1" applyBorder="1" applyAlignment="1"/>
    <xf numFmtId="0" fontId="3" fillId="11" borderId="2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3" fontId="4" fillId="11" borderId="8" xfId="0" applyNumberFormat="1" applyFont="1" applyFill="1" applyBorder="1" applyAlignment="1">
      <alignment horizontal="right"/>
    </xf>
    <xf numFmtId="3" fontId="21" fillId="11" borderId="30" xfId="0" applyNumberFormat="1" applyFont="1" applyFill="1" applyBorder="1"/>
    <xf numFmtId="3" fontId="21" fillId="11" borderId="12" xfId="0" applyNumberFormat="1" applyFont="1" applyFill="1" applyBorder="1" applyAlignment="1">
      <alignment horizontal="right"/>
    </xf>
    <xf numFmtId="3" fontId="21" fillId="11" borderId="31" xfId="0" applyNumberFormat="1" applyFont="1" applyFill="1" applyBorder="1" applyAlignment="1">
      <alignment horizontal="right"/>
    </xf>
    <xf numFmtId="3" fontId="21" fillId="11" borderId="32" xfId="0" applyNumberFormat="1" applyFont="1" applyFill="1" applyBorder="1" applyAlignment="1">
      <alignment horizontal="right"/>
    </xf>
    <xf numFmtId="0" fontId="2" fillId="11" borderId="2" xfId="0" applyFont="1" applyFill="1" applyBorder="1" applyAlignment="1">
      <alignment horizontal="center"/>
    </xf>
    <xf numFmtId="49" fontId="13" fillId="11" borderId="3" xfId="0" applyNumberFormat="1" applyFont="1" applyFill="1" applyBorder="1" applyAlignment="1">
      <alignment horizontal="center"/>
    </xf>
    <xf numFmtId="3" fontId="6" fillId="11" borderId="12" xfId="0" applyNumberFormat="1" applyFont="1" applyFill="1" applyBorder="1" applyAlignment="1">
      <alignment horizontal="right"/>
    </xf>
    <xf numFmtId="3" fontId="13" fillId="11" borderId="0" xfId="0" applyNumberFormat="1" applyFont="1" applyFill="1" applyBorder="1" applyAlignment="1">
      <alignment horizontal="right"/>
    </xf>
    <xf numFmtId="49" fontId="13" fillId="11" borderId="6" xfId="0" applyNumberFormat="1" applyFont="1" applyFill="1" applyBorder="1" applyAlignment="1">
      <alignment horizontal="center"/>
    </xf>
    <xf numFmtId="0" fontId="9" fillId="4" borderId="26" xfId="0" applyFont="1" applyFill="1" applyBorder="1" applyAlignment="1"/>
    <xf numFmtId="3" fontId="4" fillId="11" borderId="6" xfId="0" applyNumberFormat="1" applyFont="1" applyFill="1" applyBorder="1" applyAlignment="1">
      <alignment horizontal="right"/>
    </xf>
    <xf numFmtId="0" fontId="2" fillId="11" borderId="3" xfId="0" applyFont="1" applyFill="1" applyBorder="1" applyAlignment="1">
      <alignment horizontal="center"/>
    </xf>
    <xf numFmtId="3" fontId="6" fillId="11" borderId="33" xfId="0" applyNumberFormat="1" applyFont="1" applyFill="1" applyBorder="1"/>
    <xf numFmtId="0" fontId="28" fillId="11" borderId="0" xfId="0" applyFont="1" applyFill="1"/>
    <xf numFmtId="49" fontId="1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3" fillId="11" borderId="3" xfId="0" applyFont="1" applyFill="1" applyBorder="1" applyAlignment="1">
      <alignment horizontal="center"/>
    </xf>
    <xf numFmtId="49" fontId="13" fillId="12" borderId="3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3" fontId="21" fillId="11" borderId="10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3" fontId="21" fillId="11" borderId="34" xfId="0" applyNumberFormat="1" applyFont="1" applyFill="1" applyBorder="1"/>
    <xf numFmtId="0" fontId="3" fillId="11" borderId="28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0" borderId="6" xfId="0" applyFont="1" applyBorder="1"/>
    <xf numFmtId="49" fontId="13" fillId="11" borderId="28" xfId="0" applyNumberFormat="1" applyFont="1" applyFill="1" applyBorder="1" applyAlignment="1">
      <alignment horizontal="center"/>
    </xf>
    <xf numFmtId="3" fontId="9" fillId="11" borderId="29" xfId="0" applyNumberFormat="1" applyFont="1" applyFill="1" applyBorder="1"/>
    <xf numFmtId="3" fontId="26" fillId="11" borderId="29" xfId="0" applyNumberFormat="1" applyFont="1" applyFill="1" applyBorder="1"/>
    <xf numFmtId="3" fontId="26" fillId="11" borderId="33" xfId="0" applyNumberFormat="1" applyFont="1" applyFill="1" applyBorder="1"/>
    <xf numFmtId="49" fontId="4" fillId="11" borderId="28" xfId="0" applyNumberFormat="1" applyFont="1" applyFill="1" applyBorder="1" applyAlignment="1">
      <alignment horizontal="center"/>
    </xf>
    <xf numFmtId="49" fontId="40" fillId="11" borderId="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0" fillId="11" borderId="0" xfId="0" applyNumberFormat="1" applyFill="1"/>
    <xf numFmtId="0" fontId="43" fillId="7" borderId="35" xfId="0" applyFont="1" applyFill="1" applyBorder="1" applyAlignment="1">
      <alignment horizontal="left" vertical="center"/>
    </xf>
    <xf numFmtId="0" fontId="6" fillId="4" borderId="26" xfId="0" applyFont="1" applyFill="1" applyBorder="1" applyAlignment="1"/>
    <xf numFmtId="0" fontId="9" fillId="4" borderId="26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1" borderId="6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right"/>
    </xf>
    <xf numFmtId="49" fontId="4" fillId="11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5" fillId="11" borderId="3" xfId="0" applyNumberFormat="1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center"/>
    </xf>
    <xf numFmtId="0" fontId="15" fillId="11" borderId="6" xfId="0" applyFont="1" applyFill="1" applyBorder="1"/>
    <xf numFmtId="0" fontId="6" fillId="0" borderId="6" xfId="0" applyFont="1" applyBorder="1"/>
    <xf numFmtId="0" fontId="15" fillId="8" borderId="0" xfId="0" applyFont="1" applyFill="1" applyBorder="1"/>
    <xf numFmtId="0" fontId="34" fillId="7" borderId="15" xfId="0" applyFont="1" applyFill="1" applyBorder="1" applyAlignment="1"/>
    <xf numFmtId="0" fontId="3" fillId="3" borderId="2" xfId="0" applyFont="1" applyFill="1" applyBorder="1" applyAlignment="1"/>
    <xf numFmtId="0" fontId="21" fillId="11" borderId="2" xfId="0" applyFont="1" applyFill="1" applyBorder="1"/>
    <xf numFmtId="0" fontId="3" fillId="3" borderId="4" xfId="0" applyFont="1" applyFill="1" applyBorder="1" applyAlignment="1"/>
    <xf numFmtId="0" fontId="3" fillId="3" borderId="24" xfId="0" applyFont="1" applyFill="1" applyBorder="1" applyAlignment="1"/>
    <xf numFmtId="3" fontId="46" fillId="13" borderId="14" xfId="0" applyNumberFormat="1" applyFont="1" applyFill="1" applyBorder="1" applyAlignment="1">
      <alignment vertical="center"/>
    </xf>
    <xf numFmtId="3" fontId="32" fillId="13" borderId="10" xfId="0" applyNumberFormat="1" applyFont="1" applyFill="1" applyBorder="1" applyAlignment="1"/>
    <xf numFmtId="0" fontId="10" fillId="3" borderId="8" xfId="0" applyFont="1" applyFill="1" applyBorder="1" applyAlignment="1"/>
    <xf numFmtId="49" fontId="4" fillId="14" borderId="3" xfId="0" applyNumberFormat="1" applyFont="1" applyFill="1" applyBorder="1" applyAlignment="1">
      <alignment horizontal="center"/>
    </xf>
    <xf numFmtId="3" fontId="32" fillId="13" borderId="12" xfId="0" applyNumberFormat="1" applyFont="1" applyFill="1" applyBorder="1" applyAlignment="1"/>
    <xf numFmtId="0" fontId="6" fillId="11" borderId="2" xfId="0" applyFont="1" applyFill="1" applyBorder="1"/>
    <xf numFmtId="0" fontId="21" fillId="11" borderId="24" xfId="0" applyFont="1" applyFill="1" applyBorder="1"/>
    <xf numFmtId="0" fontId="34" fillId="7" borderId="36" xfId="0" applyFont="1" applyFill="1" applyBorder="1" applyAlignment="1"/>
    <xf numFmtId="0" fontId="21" fillId="11" borderId="4" xfId="0" applyFont="1" applyFill="1" applyBorder="1"/>
    <xf numFmtId="0" fontId="6" fillId="11" borderId="4" xfId="0" applyFont="1" applyFill="1" applyBorder="1"/>
    <xf numFmtId="0" fontId="9" fillId="14" borderId="26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left"/>
    </xf>
    <xf numFmtId="0" fontId="9" fillId="14" borderId="4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3" fontId="6" fillId="14" borderId="29" xfId="0" applyNumberFormat="1" applyFont="1" applyFill="1" applyBorder="1"/>
    <xf numFmtId="3" fontId="6" fillId="14" borderId="37" xfId="0" applyNumberFormat="1" applyFont="1" applyFill="1" applyBorder="1"/>
    <xf numFmtId="0" fontId="2" fillId="11" borderId="1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68" fillId="11" borderId="2" xfId="0" applyFont="1" applyFill="1" applyBorder="1"/>
    <xf numFmtId="3" fontId="26" fillId="11" borderId="34" xfId="0" applyNumberFormat="1" applyFont="1" applyFill="1" applyBorder="1"/>
    <xf numFmtId="3" fontId="26" fillId="11" borderId="30" xfId="0" applyNumberFormat="1" applyFont="1" applyFill="1" applyBorder="1"/>
    <xf numFmtId="0" fontId="13" fillId="14" borderId="26" xfId="0" applyFont="1" applyFill="1" applyBorder="1" applyAlignment="1"/>
    <xf numFmtId="0" fontId="9" fillId="14" borderId="26" xfId="0" applyFont="1" applyFill="1" applyBorder="1" applyAlignment="1"/>
    <xf numFmtId="0" fontId="9" fillId="14" borderId="4" xfId="0" applyFont="1" applyFill="1" applyBorder="1" applyAlignment="1"/>
    <xf numFmtId="0" fontId="30" fillId="7" borderId="3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11" borderId="9" xfId="0" applyFont="1" applyFill="1" applyBorder="1"/>
    <xf numFmtId="0" fontId="6" fillId="12" borderId="2" xfId="0" applyFont="1" applyFill="1" applyBorder="1"/>
    <xf numFmtId="0" fontId="13" fillId="12" borderId="3" xfId="0" applyFont="1" applyFill="1" applyBorder="1" applyAlignment="1">
      <alignment horizontal="center"/>
    </xf>
    <xf numFmtId="0" fontId="6" fillId="12" borderId="4" xfId="0" applyFont="1" applyFill="1" applyBorder="1"/>
    <xf numFmtId="0" fontId="13" fillId="12" borderId="1" xfId="0" applyFont="1" applyFill="1" applyBorder="1" applyAlignment="1">
      <alignment horizontal="center"/>
    </xf>
    <xf numFmtId="0" fontId="9" fillId="12" borderId="28" xfId="0" applyFont="1" applyFill="1" applyBorder="1" applyAlignment="1"/>
    <xf numFmtId="0" fontId="9" fillId="12" borderId="2" xfId="0" applyFont="1" applyFill="1" applyBorder="1" applyAlignment="1"/>
    <xf numFmtId="0" fontId="9" fillId="12" borderId="26" xfId="0" applyFont="1" applyFill="1" applyBorder="1" applyAlignment="1"/>
    <xf numFmtId="0" fontId="9" fillId="12" borderId="4" xfId="0" applyFont="1" applyFill="1" applyBorder="1" applyAlignment="1"/>
    <xf numFmtId="3" fontId="26" fillId="12" borderId="29" xfId="0" applyNumberFormat="1" applyFont="1" applyFill="1" applyBorder="1"/>
    <xf numFmtId="0" fontId="38" fillId="7" borderId="27" xfId="0" applyFont="1" applyFill="1" applyBorder="1" applyAlignment="1">
      <alignment horizontal="left" vertical="center"/>
    </xf>
    <xf numFmtId="3" fontId="9" fillId="12" borderId="33" xfId="0" applyNumberFormat="1" applyFont="1" applyFill="1" applyBorder="1"/>
    <xf numFmtId="3" fontId="9" fillId="12" borderId="29" xfId="0" applyNumberFormat="1" applyFont="1" applyFill="1" applyBorder="1"/>
    <xf numFmtId="0" fontId="9" fillId="4" borderId="4" xfId="0" applyFont="1" applyFill="1" applyBorder="1" applyAlignment="1"/>
    <xf numFmtId="3" fontId="28" fillId="0" borderId="0" xfId="0" applyNumberFormat="1" applyFont="1"/>
    <xf numFmtId="3" fontId="11" fillId="0" borderId="0" xfId="0" applyNumberFormat="1" applyFont="1"/>
    <xf numFmtId="3" fontId="0" fillId="0" borderId="0" xfId="0" applyNumberFormat="1" applyBorder="1"/>
    <xf numFmtId="0" fontId="0" fillId="0" borderId="0" xfId="0" applyFill="1"/>
    <xf numFmtId="0" fontId="28" fillId="0" borderId="0" xfId="0" applyFont="1" applyFill="1"/>
    <xf numFmtId="3" fontId="9" fillId="0" borderId="29" xfId="0" applyNumberFormat="1" applyFont="1" applyFill="1" applyBorder="1"/>
    <xf numFmtId="3" fontId="13" fillId="11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/>
    <xf numFmtId="3" fontId="13" fillId="0" borderId="5" xfId="0" applyNumberFormat="1" applyFont="1" applyFill="1" applyBorder="1" applyAlignment="1"/>
    <xf numFmtId="0" fontId="35" fillId="11" borderId="0" xfId="0" applyFont="1" applyFill="1" applyBorder="1" applyAlignment="1"/>
    <xf numFmtId="0" fontId="0" fillId="11" borderId="0" xfId="0" applyFill="1" applyBorder="1"/>
    <xf numFmtId="0" fontId="3" fillId="11" borderId="0" xfId="0" applyFont="1" applyFill="1" applyBorder="1" applyAlignment="1">
      <alignment horizontal="center"/>
    </xf>
    <xf numFmtId="0" fontId="1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/>
    <xf numFmtId="3" fontId="8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3" fillId="11" borderId="0" xfId="0" applyFont="1" applyFill="1" applyBorder="1"/>
    <xf numFmtId="0" fontId="17" fillId="11" borderId="0" xfId="0" applyFont="1" applyFill="1" applyBorder="1"/>
    <xf numFmtId="3" fontId="27" fillId="11" borderId="0" xfId="0" applyNumberFormat="1" applyFont="1" applyFill="1" applyBorder="1"/>
    <xf numFmtId="49" fontId="13" fillId="15" borderId="3" xfId="0" applyNumberFormat="1" applyFont="1" applyFill="1" applyBorder="1" applyAlignment="1">
      <alignment horizontal="center"/>
    </xf>
    <xf numFmtId="49" fontId="4" fillId="15" borderId="3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8" xfId="0" applyFont="1" applyFill="1" applyBorder="1" applyAlignment="1"/>
    <xf numFmtId="0" fontId="9" fillId="4" borderId="2" xfId="0" applyFont="1" applyFill="1" applyBorder="1" applyAlignment="1"/>
    <xf numFmtId="3" fontId="26" fillId="11" borderId="37" xfId="0" applyNumberFormat="1" applyFont="1" applyFill="1" applyBorder="1"/>
    <xf numFmtId="0" fontId="9" fillId="4" borderId="28" xfId="0" applyFont="1" applyFill="1" applyBorder="1" applyAlignment="1">
      <alignment horizontal="center"/>
    </xf>
    <xf numFmtId="3" fontId="6" fillId="12" borderId="33" xfId="0" applyNumberFormat="1" applyFont="1" applyFill="1" applyBorder="1"/>
    <xf numFmtId="3" fontId="6" fillId="0" borderId="33" xfId="0" applyNumberFormat="1" applyFont="1" applyFill="1" applyBorder="1"/>
    <xf numFmtId="3" fontId="9" fillId="0" borderId="33" xfId="0" applyNumberFormat="1" applyFont="1" applyFill="1" applyBorder="1"/>
    <xf numFmtId="0" fontId="20" fillId="11" borderId="0" xfId="0" applyFont="1" applyFill="1" applyBorder="1"/>
    <xf numFmtId="3" fontId="16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center"/>
    </xf>
    <xf numFmtId="0" fontId="37" fillId="11" borderId="0" xfId="0" applyFont="1" applyFill="1"/>
    <xf numFmtId="0" fontId="19" fillId="3" borderId="38" xfId="0" applyFont="1" applyFill="1" applyBorder="1" applyAlignment="1">
      <alignment horizontal="center"/>
    </xf>
    <xf numFmtId="0" fontId="10" fillId="3" borderId="41" xfId="0" applyFont="1" applyFill="1" applyBorder="1" applyAlignment="1"/>
    <xf numFmtId="0" fontId="27" fillId="3" borderId="41" xfId="0" applyFont="1" applyFill="1" applyBorder="1" applyAlignment="1"/>
    <xf numFmtId="0" fontId="3" fillId="3" borderId="42" xfId="0" applyFont="1" applyFill="1" applyBorder="1" applyAlignment="1"/>
    <xf numFmtId="0" fontId="27" fillId="3" borderId="0" xfId="0" applyFont="1" applyFill="1" applyBorder="1" applyAlignment="1"/>
    <xf numFmtId="0" fontId="3" fillId="3" borderId="9" xfId="0" applyFont="1" applyFill="1" applyBorder="1" applyAlignment="1"/>
    <xf numFmtId="3" fontId="13" fillId="0" borderId="41" xfId="0" applyNumberFormat="1" applyFont="1" applyFill="1" applyBorder="1" applyAlignment="1"/>
    <xf numFmtId="3" fontId="13" fillId="11" borderId="6" xfId="0" applyNumberFormat="1" applyFont="1" applyFill="1" applyBorder="1" applyAlignment="1">
      <alignment horizontal="right"/>
    </xf>
    <xf numFmtId="49" fontId="13" fillId="11" borderId="1" xfId="0" applyNumberFormat="1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6" fillId="16" borderId="2" xfId="0" applyFont="1" applyFill="1" applyBorder="1"/>
    <xf numFmtId="3" fontId="9" fillId="16" borderId="33" xfId="0" applyNumberFormat="1" applyFont="1" applyFill="1" applyBorder="1"/>
    <xf numFmtId="3" fontId="9" fillId="16" borderId="34" xfId="0" applyNumberFormat="1" applyFont="1" applyFill="1" applyBorder="1"/>
    <xf numFmtId="0" fontId="2" fillId="11" borderId="4" xfId="0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/>
    </xf>
    <xf numFmtId="49" fontId="5" fillId="12" borderId="7" xfId="0" applyNumberFormat="1" applyFont="1" applyFill="1" applyBorder="1" applyAlignment="1">
      <alignment horizontal="center"/>
    </xf>
    <xf numFmtId="49" fontId="5" fillId="12" borderId="24" xfId="0" applyNumberFormat="1" applyFont="1" applyFill="1" applyBorder="1" applyAlignment="1">
      <alignment horizontal="center"/>
    </xf>
    <xf numFmtId="49" fontId="2" fillId="12" borderId="24" xfId="0" applyNumberFormat="1" applyFont="1" applyFill="1" applyBorder="1" applyAlignment="1">
      <alignment horizontal="center"/>
    </xf>
    <xf numFmtId="0" fontId="52" fillId="12" borderId="43" xfId="0" applyFont="1" applyFill="1" applyBorder="1"/>
    <xf numFmtId="0" fontId="3" fillId="12" borderId="8" xfId="0" applyFont="1" applyFill="1" applyBorder="1"/>
    <xf numFmtId="49" fontId="58" fillId="17" borderId="38" xfId="0" applyNumberFormat="1" applyFont="1" applyFill="1" applyBorder="1" applyAlignment="1">
      <alignment horizontal="center"/>
    </xf>
    <xf numFmtId="0" fontId="57" fillId="17" borderId="38" xfId="0" applyFont="1" applyFill="1" applyBorder="1"/>
    <xf numFmtId="0" fontId="4" fillId="2" borderId="4" xfId="0" applyFont="1" applyFill="1" applyBorder="1"/>
    <xf numFmtId="49" fontId="3" fillId="3" borderId="19" xfId="0" applyNumberFormat="1" applyFont="1" applyFill="1" applyBorder="1" applyAlignment="1">
      <alignment horizontal="center"/>
    </xf>
    <xf numFmtId="0" fontId="16" fillId="3" borderId="44" xfId="0" applyFont="1" applyFill="1" applyBorder="1"/>
    <xf numFmtId="49" fontId="59" fillId="17" borderId="38" xfId="0" applyNumberFormat="1" applyFont="1" applyFill="1" applyBorder="1" applyAlignment="1">
      <alignment horizontal="center"/>
    </xf>
    <xf numFmtId="0" fontId="3" fillId="17" borderId="8" xfId="0" applyFont="1" applyFill="1" applyBorder="1"/>
    <xf numFmtId="49" fontId="5" fillId="2" borderId="1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49" fontId="4" fillId="11" borderId="11" xfId="0" applyNumberFormat="1" applyFont="1" applyFill="1" applyBorder="1" applyAlignment="1">
      <alignment horizontal="center"/>
    </xf>
    <xf numFmtId="0" fontId="21" fillId="11" borderId="0" xfId="0" applyFont="1" applyFill="1" applyBorder="1"/>
    <xf numFmtId="3" fontId="21" fillId="11" borderId="40" xfId="0" applyNumberFormat="1" applyFont="1" applyFill="1" applyBorder="1"/>
    <xf numFmtId="0" fontId="47" fillId="5" borderId="17" xfId="0" applyFont="1" applyFill="1" applyBorder="1"/>
    <xf numFmtId="0" fontId="51" fillId="6" borderId="45" xfId="0" applyFont="1" applyFill="1" applyBorder="1"/>
    <xf numFmtId="0" fontId="51" fillId="6" borderId="23" xfId="0" applyFont="1" applyFill="1" applyBorder="1"/>
    <xf numFmtId="49" fontId="3" fillId="3" borderId="46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6" xfId="0" applyFont="1" applyFill="1" applyBorder="1"/>
    <xf numFmtId="0" fontId="68" fillId="2" borderId="6" xfId="0" applyFont="1" applyFill="1" applyBorder="1"/>
    <xf numFmtId="0" fontId="68" fillId="0" borderId="6" xfId="0" applyFont="1" applyFill="1" applyBorder="1"/>
    <xf numFmtId="0" fontId="8" fillId="3" borderId="5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6" xfId="0" applyNumberFormat="1" applyFont="1" applyFill="1" applyBorder="1"/>
    <xf numFmtId="0" fontId="3" fillId="2" borderId="5" xfId="0" applyNumberFormat="1" applyFont="1" applyFill="1" applyBorder="1"/>
    <xf numFmtId="0" fontId="3" fillId="11" borderId="6" xfId="0" applyFont="1" applyFill="1" applyBorder="1"/>
    <xf numFmtId="0" fontId="4" fillId="0" borderId="6" xfId="0" applyFont="1" applyFill="1" applyBorder="1"/>
    <xf numFmtId="0" fontId="13" fillId="2" borderId="6" xfId="0" applyFont="1" applyFill="1" applyBorder="1"/>
    <xf numFmtId="0" fontId="8" fillId="3" borderId="6" xfId="0" applyFont="1" applyFill="1" applyBorder="1" applyAlignment="1">
      <alignment vertical="center"/>
    </xf>
    <xf numFmtId="0" fontId="3" fillId="8" borderId="5" xfId="0" applyFont="1" applyFill="1" applyBorder="1"/>
    <xf numFmtId="0" fontId="3" fillId="2" borderId="41" xfId="0" applyNumberFormat="1" applyFont="1" applyFill="1" applyBorder="1"/>
    <xf numFmtId="3" fontId="13" fillId="11" borderId="47" xfId="0" applyNumberFormat="1" applyFont="1" applyFill="1" applyBorder="1" applyAlignment="1">
      <alignment horizontal="right"/>
    </xf>
    <xf numFmtId="0" fontId="19" fillId="2" borderId="6" xfId="0" applyFont="1" applyFill="1" applyBorder="1"/>
    <xf numFmtId="3" fontId="40" fillId="15" borderId="29" xfId="0" applyNumberFormat="1" applyFont="1" applyFill="1" applyBorder="1"/>
    <xf numFmtId="3" fontId="40" fillId="0" borderId="0" xfId="0" applyNumberFormat="1" applyFont="1" applyFill="1" applyBorder="1" applyAlignment="1">
      <alignment horizontal="right"/>
    </xf>
    <xf numFmtId="3" fontId="40" fillId="4" borderId="29" xfId="0" applyNumberFormat="1" applyFont="1" applyFill="1" applyBorder="1"/>
    <xf numFmtId="3" fontId="44" fillId="0" borderId="0" xfId="0" applyNumberFormat="1" applyFont="1" applyFill="1" applyBorder="1" applyAlignment="1">
      <alignment horizontal="right"/>
    </xf>
    <xf numFmtId="3" fontId="40" fillId="11" borderId="0" xfId="0" applyNumberFormat="1" applyFont="1" applyFill="1" applyBorder="1" applyAlignment="1">
      <alignment horizontal="right"/>
    </xf>
    <xf numFmtId="3" fontId="9" fillId="11" borderId="0" xfId="0" applyNumberFormat="1" applyFont="1" applyFill="1" applyBorder="1" applyAlignment="1">
      <alignment horizontal="right"/>
    </xf>
    <xf numFmtId="3" fontId="9" fillId="11" borderId="6" xfId="0" applyNumberFormat="1" applyFont="1" applyFill="1" applyBorder="1" applyAlignment="1">
      <alignment horizontal="right"/>
    </xf>
    <xf numFmtId="3" fontId="26" fillId="11" borderId="0" xfId="0" applyNumberFormat="1" applyFont="1" applyFill="1" applyBorder="1" applyAlignment="1">
      <alignment horizontal="right"/>
    </xf>
    <xf numFmtId="3" fontId="26" fillId="11" borderId="5" xfId="0" applyNumberFormat="1" applyFont="1" applyFill="1" applyBorder="1" applyAlignment="1">
      <alignment horizontal="right"/>
    </xf>
    <xf numFmtId="3" fontId="9" fillId="11" borderId="5" xfId="0" applyNumberFormat="1" applyFont="1" applyFill="1" applyBorder="1" applyAlignment="1">
      <alignment horizontal="right"/>
    </xf>
    <xf numFmtId="3" fontId="44" fillId="11" borderId="0" xfId="0" applyNumberFormat="1" applyFont="1" applyFill="1" applyBorder="1" applyAlignment="1">
      <alignment horizontal="right"/>
    </xf>
    <xf numFmtId="3" fontId="26" fillId="11" borderId="6" xfId="0" applyNumberFormat="1" applyFont="1" applyFill="1" applyBorder="1" applyAlignment="1">
      <alignment horizontal="right"/>
    </xf>
    <xf numFmtId="3" fontId="26" fillId="11" borderId="47" xfId="0" applyNumberFormat="1" applyFont="1" applyFill="1" applyBorder="1" applyAlignment="1">
      <alignment horizontal="right"/>
    </xf>
    <xf numFmtId="3" fontId="40" fillId="15" borderId="33" xfId="0" applyNumberFormat="1" applyFont="1" applyFill="1" applyBorder="1"/>
    <xf numFmtId="3" fontId="40" fillId="15" borderId="34" xfId="0" applyNumberFormat="1" applyFont="1" applyFill="1" applyBorder="1"/>
    <xf numFmtId="3" fontId="40" fillId="0" borderId="0" xfId="0" applyNumberFormat="1" applyFont="1" applyFill="1" applyBorder="1" applyAlignment="1"/>
    <xf numFmtId="3" fontId="40" fillId="11" borderId="29" xfId="0" applyNumberFormat="1" applyFont="1" applyFill="1" applyBorder="1"/>
    <xf numFmtId="3" fontId="9" fillId="11" borderId="47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1" fillId="11" borderId="6" xfId="0" applyFont="1" applyFill="1" applyBorder="1"/>
    <xf numFmtId="0" fontId="3" fillId="3" borderId="5" xfId="0" applyFont="1" applyFill="1" applyBorder="1" applyAlignment="1"/>
    <xf numFmtId="0" fontId="9" fillId="4" borderId="1" xfId="0" applyFont="1" applyFill="1" applyBorder="1" applyAlignment="1"/>
    <xf numFmtId="0" fontId="21" fillId="11" borderId="42" xfId="0" applyFont="1" applyFill="1" applyBorder="1"/>
    <xf numFmtId="0" fontId="3" fillId="18" borderId="3" xfId="0" applyFont="1" applyFill="1" applyBorder="1" applyAlignment="1">
      <alignment horizontal="center"/>
    </xf>
    <xf numFmtId="0" fontId="6" fillId="18" borderId="2" xfId="0" applyFont="1" applyFill="1" applyBorder="1"/>
    <xf numFmtId="3" fontId="13" fillId="18" borderId="0" xfId="0" applyNumberFormat="1" applyFont="1" applyFill="1" applyBorder="1" applyAlignment="1">
      <alignment horizontal="right"/>
    </xf>
    <xf numFmtId="3" fontId="9" fillId="18" borderId="29" xfId="0" applyNumberFormat="1" applyFont="1" applyFill="1" applyBorder="1"/>
    <xf numFmtId="3" fontId="4" fillId="18" borderId="0" xfId="0" applyNumberFormat="1" applyFont="1" applyFill="1" applyBorder="1" applyAlignment="1">
      <alignment horizontal="right"/>
    </xf>
    <xf numFmtId="3" fontId="9" fillId="18" borderId="33" xfId="0" applyNumberFormat="1" applyFont="1" applyFill="1" applyBorder="1"/>
    <xf numFmtId="0" fontId="3" fillId="11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21" fillId="0" borderId="33" xfId="0" applyNumberFormat="1" applyFont="1" applyFill="1" applyBorder="1"/>
    <xf numFmtId="0" fontId="21" fillId="0" borderId="2" xfId="0" applyFont="1" applyFill="1" applyBorder="1"/>
    <xf numFmtId="0" fontId="4" fillId="11" borderId="6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64" fillId="19" borderId="48" xfId="0" applyNumberFormat="1" applyFont="1" applyFill="1" applyBorder="1" applyAlignment="1">
      <alignment vertical="center"/>
    </xf>
    <xf numFmtId="3" fontId="55" fillId="19" borderId="34" xfId="0" applyNumberFormat="1" applyFont="1" applyFill="1" applyBorder="1" applyAlignment="1"/>
    <xf numFmtId="3" fontId="55" fillId="19" borderId="33" xfId="0" applyNumberFormat="1" applyFont="1" applyFill="1" applyBorder="1" applyAlignment="1"/>
    <xf numFmtId="3" fontId="85" fillId="19" borderId="29" xfId="0" applyNumberFormat="1" applyFont="1" applyFill="1" applyBorder="1"/>
    <xf numFmtId="3" fontId="55" fillId="19" borderId="30" xfId="0" applyNumberFormat="1" applyFont="1" applyFill="1" applyBorder="1" applyAlignment="1"/>
    <xf numFmtId="3" fontId="9" fillId="14" borderId="1" xfId="0" applyNumberFormat="1" applyFont="1" applyFill="1" applyBorder="1" applyAlignment="1">
      <alignment horizontal="right"/>
    </xf>
    <xf numFmtId="3" fontId="46" fillId="13" borderId="16" xfId="0" applyNumberFormat="1" applyFont="1" applyFill="1" applyBorder="1" applyAlignment="1">
      <alignment vertical="center"/>
    </xf>
    <xf numFmtId="3" fontId="32" fillId="13" borderId="3" xfId="0" applyNumberFormat="1" applyFont="1" applyFill="1" applyBorder="1" applyAlignment="1"/>
    <xf numFmtId="3" fontId="21" fillId="14" borderId="49" xfId="0" applyNumberFormat="1" applyFont="1" applyFill="1" applyBorder="1" applyAlignment="1">
      <alignment horizontal="right"/>
    </xf>
    <xf numFmtId="3" fontId="32" fillId="13" borderId="1" xfId="0" applyNumberFormat="1" applyFont="1" applyFill="1" applyBorder="1" applyAlignment="1"/>
    <xf numFmtId="3" fontId="21" fillId="11" borderId="3" xfId="0" applyNumberFormat="1" applyFont="1" applyFill="1" applyBorder="1" applyAlignment="1">
      <alignment horizontal="right"/>
    </xf>
    <xf numFmtId="3" fontId="44" fillId="11" borderId="49" xfId="0" applyNumberFormat="1" applyFont="1" applyFill="1" applyBorder="1" applyAlignment="1">
      <alignment horizontal="right"/>
    </xf>
    <xf numFmtId="3" fontId="32" fillId="13" borderId="38" xfId="0" applyNumberFormat="1" applyFont="1" applyFill="1" applyBorder="1" applyAlignment="1"/>
    <xf numFmtId="3" fontId="21" fillId="11" borderId="38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6" fillId="11" borderId="1" xfId="0" applyNumberFormat="1" applyFont="1" applyFill="1" applyBorder="1" applyAlignment="1">
      <alignment horizontal="right"/>
    </xf>
    <xf numFmtId="3" fontId="21" fillId="11" borderId="7" xfId="0" applyNumberFormat="1" applyFont="1" applyFill="1" applyBorder="1" applyAlignment="1">
      <alignment horizontal="right"/>
    </xf>
    <xf numFmtId="3" fontId="32" fillId="19" borderId="34" xfId="0" applyNumberFormat="1" applyFont="1" applyFill="1" applyBorder="1" applyAlignment="1"/>
    <xf numFmtId="3" fontId="32" fillId="19" borderId="33" xfId="0" applyNumberFormat="1" applyFont="1" applyFill="1" applyBorder="1" applyAlignment="1"/>
    <xf numFmtId="3" fontId="71" fillId="19" borderId="48" xfId="0" applyNumberFormat="1" applyFont="1" applyFill="1" applyBorder="1" applyAlignment="1">
      <alignment vertical="center"/>
    </xf>
    <xf numFmtId="3" fontId="53" fillId="13" borderId="3" xfId="0" applyNumberFormat="1" applyFont="1" applyFill="1" applyBorder="1" applyAlignment="1"/>
    <xf numFmtId="3" fontId="9" fillId="12" borderId="1" xfId="0" applyNumberFormat="1" applyFont="1" applyFill="1" applyBorder="1" applyAlignment="1">
      <alignment horizontal="right"/>
    </xf>
    <xf numFmtId="3" fontId="6" fillId="11" borderId="32" xfId="0" applyNumberFormat="1" applyFont="1" applyFill="1" applyBorder="1" applyAlignment="1">
      <alignment horizontal="right"/>
    </xf>
    <xf numFmtId="3" fontId="60" fillId="13" borderId="19" xfId="0" applyNumberFormat="1" applyFont="1" applyFill="1" applyBorder="1" applyAlignment="1"/>
    <xf numFmtId="3" fontId="6" fillId="11" borderId="49" xfId="0" applyNumberFormat="1" applyFont="1" applyFill="1" applyBorder="1" applyAlignment="1">
      <alignment horizontal="right"/>
    </xf>
    <xf numFmtId="3" fontId="60" fillId="13" borderId="1" xfId="0" applyNumberFormat="1" applyFont="1" applyFill="1" applyBorder="1" applyAlignment="1"/>
    <xf numFmtId="3" fontId="21" fillId="0" borderId="1" xfId="0" applyNumberFormat="1" applyFont="1" applyFill="1" applyBorder="1" applyAlignment="1">
      <alignment horizontal="right"/>
    </xf>
    <xf numFmtId="3" fontId="26" fillId="11" borderId="1" xfId="0" applyNumberFormat="1" applyFont="1" applyFill="1" applyBorder="1" applyAlignment="1">
      <alignment horizontal="right"/>
    </xf>
    <xf numFmtId="3" fontId="9" fillId="11" borderId="32" xfId="0" applyNumberFormat="1" applyFont="1" applyFill="1" applyBorder="1" applyAlignment="1">
      <alignment horizontal="right"/>
    </xf>
    <xf numFmtId="3" fontId="86" fillId="13" borderId="3" xfId="0" applyNumberFormat="1" applyFont="1" applyFill="1" applyBorder="1" applyAlignment="1"/>
    <xf numFmtId="3" fontId="9" fillId="14" borderId="49" xfId="0" applyNumberFormat="1" applyFont="1" applyFill="1" applyBorder="1" applyAlignment="1">
      <alignment horizontal="right"/>
    </xf>
    <xf numFmtId="3" fontId="9" fillId="11" borderId="49" xfId="0" applyNumberFormat="1" applyFont="1" applyFill="1" applyBorder="1" applyAlignment="1">
      <alignment horizontal="right"/>
    </xf>
    <xf numFmtId="3" fontId="6" fillId="14" borderId="49" xfId="0" applyNumberFormat="1" applyFont="1" applyFill="1" applyBorder="1" applyAlignment="1">
      <alignment horizontal="right"/>
    </xf>
    <xf numFmtId="3" fontId="6" fillId="18" borderId="1" xfId="0" applyNumberFormat="1" applyFont="1" applyFill="1" applyBorder="1" applyAlignment="1">
      <alignment horizontal="right"/>
    </xf>
    <xf numFmtId="3" fontId="46" fillId="13" borderId="50" xfId="0" applyNumberFormat="1" applyFont="1" applyFill="1" applyBorder="1" applyAlignment="1">
      <alignment vertical="center"/>
    </xf>
    <xf numFmtId="3" fontId="0" fillId="11" borderId="0" xfId="0" applyNumberFormat="1" applyFill="1" applyBorder="1"/>
    <xf numFmtId="49" fontId="13" fillId="11" borderId="5" xfId="0" applyNumberFormat="1" applyFont="1" applyFill="1" applyBorder="1" applyAlignment="1">
      <alignment horizontal="center"/>
    </xf>
    <xf numFmtId="3" fontId="0" fillId="0" borderId="0" xfId="0" applyNumberFormat="1" applyFill="1"/>
    <xf numFmtId="0" fontId="23" fillId="0" borderId="26" xfId="0" applyFont="1" applyBorder="1"/>
    <xf numFmtId="3" fontId="46" fillId="20" borderId="16" xfId="0" applyNumberFormat="1" applyFont="1" applyFill="1" applyBorder="1" applyAlignment="1">
      <alignment vertical="center"/>
    </xf>
    <xf numFmtId="3" fontId="60" fillId="20" borderId="19" xfId="0" applyNumberFormat="1" applyFont="1" applyFill="1" applyBorder="1" applyAlignment="1"/>
    <xf numFmtId="3" fontId="60" fillId="20" borderId="1" xfId="0" applyNumberFormat="1" applyFont="1" applyFill="1" applyBorder="1" applyAlignment="1"/>
    <xf numFmtId="3" fontId="60" fillId="20" borderId="7" xfId="0" applyNumberFormat="1" applyFont="1" applyFill="1" applyBorder="1" applyAlignment="1"/>
    <xf numFmtId="3" fontId="32" fillId="20" borderId="1" xfId="0" applyNumberFormat="1" applyFont="1" applyFill="1" applyBorder="1" applyAlignment="1"/>
    <xf numFmtId="3" fontId="60" fillId="20" borderId="3" xfId="0" applyNumberFormat="1" applyFont="1" applyFill="1" applyBorder="1" applyAlignment="1"/>
    <xf numFmtId="3" fontId="46" fillId="20" borderId="50" xfId="0" applyNumberFormat="1" applyFont="1" applyFill="1" applyBorder="1" applyAlignment="1">
      <alignment vertical="center"/>
    </xf>
    <xf numFmtId="3" fontId="60" fillId="20" borderId="38" xfId="0" applyNumberFormat="1" applyFont="1" applyFill="1" applyBorder="1" applyAlignment="1"/>
    <xf numFmtId="3" fontId="86" fillId="20" borderId="3" xfId="0" applyNumberFormat="1" applyFont="1" applyFill="1" applyBorder="1" applyAlignment="1"/>
    <xf numFmtId="3" fontId="64" fillId="19" borderId="51" xfId="0" applyNumberFormat="1" applyFont="1" applyFill="1" applyBorder="1" applyAlignment="1">
      <alignment vertical="center"/>
    </xf>
    <xf numFmtId="0" fontId="78" fillId="11" borderId="0" xfId="0" applyFont="1" applyFill="1" applyBorder="1" applyAlignment="1"/>
    <xf numFmtId="0" fontId="3" fillId="21" borderId="10" xfId="0" applyFont="1" applyFill="1" applyBorder="1" applyAlignment="1">
      <alignment horizontal="center" vertical="center"/>
    </xf>
    <xf numFmtId="0" fontId="9" fillId="21" borderId="28" xfId="0" applyFont="1" applyFill="1" applyBorder="1" applyAlignment="1"/>
    <xf numFmtId="0" fontId="39" fillId="21" borderId="6" xfId="0" applyFont="1" applyFill="1" applyBorder="1" applyAlignment="1"/>
    <xf numFmtId="3" fontId="32" fillId="20" borderId="19" xfId="0" applyNumberFormat="1" applyFont="1" applyFill="1" applyBorder="1" applyAlignment="1"/>
    <xf numFmtId="3" fontId="40" fillId="2" borderId="1" xfId="0" applyNumberFormat="1" applyFont="1" applyFill="1" applyBorder="1" applyAlignment="1">
      <alignment horizontal="right"/>
    </xf>
    <xf numFmtId="3" fontId="40" fillId="4" borderId="1" xfId="0" applyNumberFormat="1" applyFont="1" applyFill="1" applyBorder="1" applyAlignment="1">
      <alignment horizontal="right"/>
    </xf>
    <xf numFmtId="3" fontId="40" fillId="15" borderId="1" xfId="0" applyNumberFormat="1" applyFont="1" applyFill="1" applyBorder="1" applyAlignment="1">
      <alignment horizontal="right"/>
    </xf>
    <xf numFmtId="3" fontId="40" fillId="4" borderId="3" xfId="0" applyNumberFormat="1" applyFont="1" applyFill="1" applyBorder="1" applyAlignment="1">
      <alignment horizontal="right"/>
    </xf>
    <xf numFmtId="3" fontId="40" fillId="11" borderId="32" xfId="0" applyNumberFormat="1" applyFont="1" applyFill="1" applyBorder="1" applyAlignment="1">
      <alignment horizontal="right"/>
    </xf>
    <xf numFmtId="3" fontId="40" fillId="4" borderId="32" xfId="0" applyNumberFormat="1" applyFont="1" applyFill="1" applyBorder="1" applyAlignment="1">
      <alignment horizontal="right"/>
    </xf>
    <xf numFmtId="3" fontId="40" fillId="15" borderId="32" xfId="0" applyNumberFormat="1" applyFont="1" applyFill="1" applyBorder="1" applyAlignment="1">
      <alignment horizontal="right"/>
    </xf>
    <xf numFmtId="3" fontId="44" fillId="15" borderId="32" xfId="0" applyNumberFormat="1" applyFont="1" applyFill="1" applyBorder="1" applyAlignment="1">
      <alignment horizontal="right"/>
    </xf>
    <xf numFmtId="3" fontId="6" fillId="16" borderId="1" xfId="0" applyNumberFormat="1" applyFont="1" applyFill="1" applyBorder="1" applyAlignment="1">
      <alignment horizontal="right"/>
    </xf>
    <xf numFmtId="3" fontId="40" fillId="12" borderId="1" xfId="0" applyNumberFormat="1" applyFont="1" applyFill="1" applyBorder="1" applyAlignment="1">
      <alignment horizontal="right"/>
    </xf>
    <xf numFmtId="3" fontId="26" fillId="11" borderId="3" xfId="0" applyNumberFormat="1" applyFont="1" applyFill="1" applyBorder="1" applyAlignment="1">
      <alignment horizontal="right"/>
    </xf>
    <xf numFmtId="3" fontId="44" fillId="15" borderId="12" xfId="0" applyNumberFormat="1" applyFont="1" applyFill="1" applyBorder="1" applyAlignment="1">
      <alignment horizontal="right"/>
    </xf>
    <xf numFmtId="3" fontId="21" fillId="16" borderId="12" xfId="0" applyNumberFormat="1" applyFont="1" applyFill="1" applyBorder="1" applyAlignment="1">
      <alignment horizontal="right"/>
    </xf>
    <xf numFmtId="3" fontId="9" fillId="11" borderId="12" xfId="0" applyNumberFormat="1" applyFont="1" applyFill="1" applyBorder="1" applyAlignment="1">
      <alignment horizontal="right"/>
    </xf>
    <xf numFmtId="3" fontId="26" fillId="11" borderId="13" xfId="0" applyNumberFormat="1" applyFont="1" applyFill="1" applyBorder="1" applyAlignment="1">
      <alignment horizontal="right"/>
    </xf>
    <xf numFmtId="3" fontId="26" fillId="11" borderId="32" xfId="0" applyNumberFormat="1" applyFont="1" applyFill="1" applyBorder="1" applyAlignment="1">
      <alignment horizontal="right"/>
    </xf>
    <xf numFmtId="3" fontId="40" fillId="11" borderId="1" xfId="0" applyNumberFormat="1" applyFont="1" applyFill="1" applyBorder="1" applyAlignment="1">
      <alignment horizontal="right"/>
    </xf>
    <xf numFmtId="3" fontId="9" fillId="11" borderId="13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26" fillId="11" borderId="49" xfId="0" applyNumberFormat="1" applyFont="1" applyFill="1" applyBorder="1" applyAlignment="1">
      <alignment horizontal="right"/>
    </xf>
    <xf numFmtId="3" fontId="6" fillId="16" borderId="3" xfId="0" applyNumberFormat="1" applyFont="1" applyFill="1" applyBorder="1" applyAlignment="1">
      <alignment horizontal="right"/>
    </xf>
    <xf numFmtId="3" fontId="21" fillId="15" borderId="32" xfId="0" applyNumberFormat="1" applyFont="1" applyFill="1" applyBorder="1" applyAlignment="1">
      <alignment horizontal="right"/>
    </xf>
    <xf numFmtId="3" fontId="44" fillId="15" borderId="10" xfId="0" applyNumberFormat="1" applyFont="1" applyFill="1" applyBorder="1" applyAlignment="1">
      <alignment horizontal="right"/>
    </xf>
    <xf numFmtId="3" fontId="40" fillId="15" borderId="10" xfId="0" applyNumberFormat="1" applyFont="1" applyFill="1" applyBorder="1" applyAlignment="1">
      <alignment horizontal="right"/>
    </xf>
    <xf numFmtId="3" fontId="21" fillId="16" borderId="10" xfId="0" applyNumberFormat="1" applyFont="1" applyFill="1" applyBorder="1" applyAlignment="1">
      <alignment horizontal="right"/>
    </xf>
    <xf numFmtId="49" fontId="13" fillId="11" borderId="26" xfId="0" applyNumberFormat="1" applyFont="1" applyFill="1" applyBorder="1" applyAlignment="1">
      <alignment horizontal="center"/>
    </xf>
    <xf numFmtId="3" fontId="71" fillId="20" borderId="16" xfId="0" applyNumberFormat="1" applyFont="1" applyFill="1" applyBorder="1" applyAlignment="1">
      <alignment vertical="center"/>
    </xf>
    <xf numFmtId="3" fontId="60" fillId="13" borderId="7" xfId="0" applyNumberFormat="1" applyFont="1" applyFill="1" applyBorder="1" applyAlignment="1"/>
    <xf numFmtId="3" fontId="55" fillId="19" borderId="40" xfId="0" applyNumberFormat="1" applyFont="1" applyFill="1" applyBorder="1" applyAlignment="1"/>
    <xf numFmtId="3" fontId="60" fillId="13" borderId="52" xfId="0" applyNumberFormat="1" applyFont="1" applyFill="1" applyBorder="1" applyAlignment="1"/>
    <xf numFmtId="3" fontId="60" fillId="13" borderId="12" xfId="0" applyNumberFormat="1" applyFont="1" applyFill="1" applyBorder="1" applyAlignment="1"/>
    <xf numFmtId="3" fontId="21" fillId="12" borderId="32" xfId="0" applyNumberFormat="1" applyFont="1" applyFill="1" applyBorder="1" applyAlignment="1">
      <alignment horizontal="right"/>
    </xf>
    <xf numFmtId="3" fontId="60" fillId="13" borderId="10" xfId="0" applyNumberFormat="1" applyFont="1" applyFill="1" applyBorder="1" applyAlignment="1"/>
    <xf numFmtId="3" fontId="6" fillId="18" borderId="32" xfId="0" applyNumberFormat="1" applyFont="1" applyFill="1" applyBorder="1" applyAlignment="1">
      <alignment horizontal="right"/>
    </xf>
    <xf numFmtId="3" fontId="53" fillId="13" borderId="12" xfId="0" applyNumberFormat="1" applyFont="1" applyFill="1" applyBorder="1" applyAlignment="1"/>
    <xf numFmtId="3" fontId="53" fillId="13" borderId="10" xfId="0" applyNumberFormat="1" applyFont="1" applyFill="1" applyBorder="1" applyAlignment="1"/>
    <xf numFmtId="3" fontId="21" fillId="18" borderId="12" xfId="0" applyNumberFormat="1" applyFont="1" applyFill="1" applyBorder="1" applyAlignment="1">
      <alignment horizontal="right"/>
    </xf>
    <xf numFmtId="0" fontId="12" fillId="22" borderId="53" xfId="0" applyFont="1" applyFill="1" applyBorder="1" applyAlignment="1">
      <alignment horizontal="left" vertical="center"/>
    </xf>
    <xf numFmtId="0" fontId="3" fillId="22" borderId="10" xfId="0" applyFont="1" applyFill="1" applyBorder="1" applyAlignment="1">
      <alignment horizontal="center" vertical="center"/>
    </xf>
    <xf numFmtId="0" fontId="69" fillId="22" borderId="28" xfId="0" applyFont="1" applyFill="1" applyBorder="1"/>
    <xf numFmtId="0" fontId="3" fillId="22" borderId="12" xfId="0" applyFont="1" applyFill="1" applyBorder="1" applyAlignment="1">
      <alignment horizontal="center" vertical="center"/>
    </xf>
    <xf numFmtId="0" fontId="69" fillId="22" borderId="26" xfId="0" applyFont="1" applyFill="1" applyBorder="1"/>
    <xf numFmtId="0" fontId="50" fillId="23" borderId="10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left"/>
    </xf>
    <xf numFmtId="0" fontId="80" fillId="0" borderId="26" xfId="0" applyFont="1" applyBorder="1"/>
    <xf numFmtId="3" fontId="32" fillId="24" borderId="10" xfId="0" applyNumberFormat="1" applyFont="1" applyFill="1" applyBorder="1" applyAlignment="1"/>
    <xf numFmtId="3" fontId="9" fillId="12" borderId="32" xfId="0" applyNumberFormat="1" applyFont="1" applyFill="1" applyBorder="1" applyAlignment="1">
      <alignment horizontal="right"/>
    </xf>
    <xf numFmtId="3" fontId="9" fillId="12" borderId="12" xfId="0" applyNumberFormat="1" applyFont="1" applyFill="1" applyBorder="1" applyAlignment="1">
      <alignment horizontal="right"/>
    </xf>
    <xf numFmtId="3" fontId="4" fillId="11" borderId="0" xfId="0" applyNumberFormat="1" applyFont="1" applyFill="1" applyBorder="1" applyAlignment="1">
      <alignment horizontal="right" vertical="center"/>
    </xf>
    <xf numFmtId="3" fontId="21" fillId="11" borderId="12" xfId="0" applyNumberFormat="1" applyFont="1" applyFill="1" applyBorder="1" applyAlignment="1">
      <alignment horizontal="right" vertical="center"/>
    </xf>
    <xf numFmtId="3" fontId="21" fillId="11" borderId="33" xfId="0" applyNumberFormat="1" applyFont="1" applyFill="1" applyBorder="1" applyAlignment="1">
      <alignment horizontal="right" vertical="center"/>
    </xf>
    <xf numFmtId="0" fontId="79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1" fillId="11" borderId="0" xfId="0" applyFont="1" applyFill="1" applyBorder="1" applyAlignment="1"/>
    <xf numFmtId="0" fontId="0" fillId="0" borderId="0" xfId="0" applyFill="1" applyAlignment="1">
      <alignment vertical="center"/>
    </xf>
    <xf numFmtId="0" fontId="3" fillId="11" borderId="2" xfId="0" applyFont="1" applyFill="1" applyBorder="1" applyAlignment="1">
      <alignment horizontal="center" vertical="center"/>
    </xf>
    <xf numFmtId="3" fontId="21" fillId="11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9" fillId="0" borderId="2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3" fontId="26" fillId="11" borderId="33" xfId="0" applyNumberFormat="1" applyFont="1" applyFill="1" applyBorder="1" applyAlignment="1">
      <alignment vertical="center"/>
    </xf>
    <xf numFmtId="0" fontId="68" fillId="0" borderId="2" xfId="0" applyFont="1" applyFill="1" applyBorder="1"/>
    <xf numFmtId="3" fontId="21" fillId="11" borderId="11" xfId="0" applyNumberFormat="1" applyFont="1" applyFill="1" applyBorder="1" applyAlignment="1">
      <alignment horizontal="right"/>
    </xf>
    <xf numFmtId="3" fontId="9" fillId="11" borderId="3" xfId="0" applyNumberFormat="1" applyFont="1" applyFill="1" applyBorder="1" applyAlignment="1">
      <alignment horizontal="right"/>
    </xf>
    <xf numFmtId="3" fontId="6" fillId="14" borderId="11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right" vertical="center"/>
    </xf>
    <xf numFmtId="3" fontId="21" fillId="11" borderId="0" xfId="0" applyNumberFormat="1" applyFont="1" applyFill="1" applyBorder="1" applyAlignment="1">
      <alignment horizontal="right"/>
    </xf>
    <xf numFmtId="3" fontId="21" fillId="11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27" fillId="0" borderId="0" xfId="0" applyFont="1" applyFill="1" applyBorder="1" applyAlignment="1"/>
    <xf numFmtId="0" fontId="3" fillId="0" borderId="0" xfId="0" applyFont="1" applyFill="1" applyBorder="1" applyAlignment="1"/>
    <xf numFmtId="3" fontId="60" fillId="0" borderId="0" xfId="0" applyNumberFormat="1" applyFont="1" applyFill="1" applyBorder="1" applyAlignment="1"/>
    <xf numFmtId="3" fontId="53" fillId="0" borderId="0" xfId="0" applyNumberFormat="1" applyFont="1" applyFill="1" applyBorder="1" applyAlignment="1"/>
    <xf numFmtId="3" fontId="55" fillId="0" borderId="0" xfId="0" applyNumberFormat="1" applyFont="1" applyFill="1" applyBorder="1" applyAlignment="1"/>
    <xf numFmtId="3" fontId="21" fillId="11" borderId="10" xfId="0" applyNumberFormat="1" applyFont="1" applyFill="1" applyBorder="1" applyAlignment="1">
      <alignment horizontal="right" vertical="center"/>
    </xf>
    <xf numFmtId="3" fontId="26" fillId="11" borderId="34" xfId="0" applyNumberFormat="1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54" xfId="0" applyNumberFormat="1" applyFont="1" applyFill="1" applyBorder="1" applyAlignment="1">
      <alignment horizontal="center"/>
    </xf>
    <xf numFmtId="49" fontId="3" fillId="2" borderId="54" xfId="0" applyNumberFormat="1" applyFont="1" applyFill="1" applyBorder="1" applyAlignment="1">
      <alignment horizontal="center"/>
    </xf>
    <xf numFmtId="0" fontId="3" fillId="0" borderId="47" xfId="0" applyFont="1" applyBorder="1"/>
    <xf numFmtId="0" fontId="3" fillId="2" borderId="47" xfId="0" applyFont="1" applyFill="1" applyBorder="1"/>
    <xf numFmtId="0" fontId="3" fillId="11" borderId="54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21" fillId="11" borderId="54" xfId="0" applyFont="1" applyFill="1" applyBorder="1"/>
    <xf numFmtId="0" fontId="79" fillId="0" borderId="2" xfId="0" applyFont="1" applyFill="1" applyBorder="1" applyAlignment="1">
      <alignment horizontal="left" vertical="center" wrapText="1"/>
    </xf>
    <xf numFmtId="3" fontId="22" fillId="8" borderId="33" xfId="0" applyNumberFormat="1" applyFont="1" applyFill="1" applyBorder="1" applyAlignment="1">
      <alignment horizontal="right"/>
    </xf>
    <xf numFmtId="3" fontId="22" fillId="8" borderId="34" xfId="0" applyNumberFormat="1" applyFont="1" applyFill="1" applyBorder="1" applyAlignment="1">
      <alignment horizontal="right"/>
    </xf>
    <xf numFmtId="3" fontId="8" fillId="2" borderId="34" xfId="0" applyNumberFormat="1" applyFont="1" applyFill="1" applyBorder="1" applyAlignment="1">
      <alignment horizontal="right"/>
    </xf>
    <xf numFmtId="3" fontId="32" fillId="25" borderId="33" xfId="0" applyNumberFormat="1" applyFont="1" applyFill="1" applyBorder="1" applyAlignment="1">
      <alignment horizontal="right" vertical="center"/>
    </xf>
    <xf numFmtId="3" fontId="21" fillId="11" borderId="34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6" fillId="11" borderId="34" xfId="0" applyNumberFormat="1" applyFont="1" applyFill="1" applyBorder="1"/>
    <xf numFmtId="49" fontId="13" fillId="11" borderId="38" xfId="0" applyNumberFormat="1" applyFont="1" applyFill="1" applyBorder="1" applyAlignment="1">
      <alignment horizontal="center"/>
    </xf>
    <xf numFmtId="49" fontId="4" fillId="11" borderId="38" xfId="0" applyNumberFormat="1" applyFont="1" applyFill="1" applyBorder="1" applyAlignment="1">
      <alignment horizontal="center"/>
    </xf>
    <xf numFmtId="0" fontId="21" fillId="11" borderId="38" xfId="0" applyFont="1" applyFill="1" applyBorder="1"/>
    <xf numFmtId="3" fontId="21" fillId="11" borderId="34" xfId="0" applyNumberFormat="1" applyFont="1" applyFill="1" applyBorder="1" applyAlignment="1">
      <alignment horizontal="right" vertical="center"/>
    </xf>
    <xf numFmtId="3" fontId="40" fillId="15" borderId="12" xfId="0" applyNumberFormat="1" applyFont="1" applyFill="1" applyBorder="1" applyAlignment="1">
      <alignment horizontal="right"/>
    </xf>
    <xf numFmtId="3" fontId="40" fillId="4" borderId="4" xfId="0" applyNumberFormat="1" applyFont="1" applyFill="1" applyBorder="1" applyAlignment="1">
      <alignment horizontal="right"/>
    </xf>
    <xf numFmtId="0" fontId="6" fillId="11" borderId="1" xfId="0" applyFont="1" applyFill="1" applyBorder="1"/>
    <xf numFmtId="3" fontId="7" fillId="2" borderId="33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Border="1"/>
    <xf numFmtId="0" fontId="35" fillId="0" borderId="0" xfId="0" applyFont="1" applyFill="1" applyBorder="1" applyAlignment="1"/>
    <xf numFmtId="0" fontId="75" fillId="0" borderId="0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1" fillId="11" borderId="2" xfId="0" applyFont="1" applyFill="1" applyBorder="1" applyAlignment="1">
      <alignment vertical="center" wrapText="1"/>
    </xf>
    <xf numFmtId="0" fontId="28" fillId="11" borderId="0" xfId="0" applyFont="1" applyFill="1" applyAlignment="1">
      <alignment vertical="center"/>
    </xf>
    <xf numFmtId="49" fontId="4" fillId="14" borderId="28" xfId="0" applyNumberFormat="1" applyFont="1" applyFill="1" applyBorder="1" applyAlignment="1">
      <alignment horizontal="center"/>
    </xf>
    <xf numFmtId="3" fontId="40" fillId="11" borderId="47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13" fillId="16" borderId="3" xfId="0" applyFont="1" applyFill="1" applyBorder="1" applyAlignment="1">
      <alignment horizontal="center"/>
    </xf>
    <xf numFmtId="0" fontId="1" fillId="10" borderId="55" xfId="0" applyFont="1" applyFill="1" applyBorder="1" applyAlignment="1">
      <alignment horizontal="center"/>
    </xf>
    <xf numFmtId="3" fontId="60" fillId="20" borderId="56" xfId="0" applyNumberFormat="1" applyFont="1" applyFill="1" applyBorder="1" applyAlignment="1"/>
    <xf numFmtId="0" fontId="3" fillId="10" borderId="56" xfId="0" applyFont="1" applyFill="1" applyBorder="1" applyAlignment="1"/>
    <xf numFmtId="0" fontId="3" fillId="10" borderId="16" xfId="0" applyFont="1" applyFill="1" applyBorder="1" applyAlignment="1"/>
    <xf numFmtId="0" fontId="1" fillId="10" borderId="57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18" fillId="0" borderId="25" xfId="0" applyNumberFormat="1" applyFont="1" applyFill="1" applyBorder="1" applyAlignment="1">
      <alignment vertical="center"/>
    </xf>
    <xf numFmtId="3" fontId="46" fillId="13" borderId="58" xfId="0" applyNumberFormat="1" applyFont="1" applyFill="1" applyBorder="1" applyAlignment="1">
      <alignment vertical="center"/>
    </xf>
    <xf numFmtId="0" fontId="4" fillId="12" borderId="26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26" borderId="28" xfId="0" applyFont="1" applyFill="1" applyBorder="1" applyAlignment="1"/>
    <xf numFmtId="3" fontId="40" fillId="26" borderId="3" xfId="0" applyNumberFormat="1" applyFont="1" applyFill="1" applyBorder="1" applyAlignment="1">
      <alignment horizontal="right"/>
    </xf>
    <xf numFmtId="3" fontId="44" fillId="26" borderId="12" xfId="0" applyNumberFormat="1" applyFont="1" applyFill="1" applyBorder="1" applyAlignment="1">
      <alignment horizontal="right"/>
    </xf>
    <xf numFmtId="0" fontId="6" fillId="26" borderId="2" xfId="0" applyFont="1" applyFill="1" applyBorder="1" applyAlignment="1"/>
    <xf numFmtId="0" fontId="13" fillId="26" borderId="28" xfId="0" applyFont="1" applyFill="1" applyBorder="1" applyAlignment="1"/>
    <xf numFmtId="3" fontId="9" fillId="26" borderId="3" xfId="0" applyNumberFormat="1" applyFont="1" applyFill="1" applyBorder="1" applyAlignment="1">
      <alignment horizontal="right"/>
    </xf>
    <xf numFmtId="3" fontId="9" fillId="26" borderId="33" xfId="0" applyNumberFormat="1" applyFont="1" applyFill="1" applyBorder="1"/>
    <xf numFmtId="0" fontId="13" fillId="26" borderId="28" xfId="0" applyFont="1" applyFill="1" applyBorder="1" applyAlignment="1">
      <alignment horizontal="center"/>
    </xf>
    <xf numFmtId="3" fontId="9" fillId="26" borderId="2" xfId="0" applyNumberFormat="1" applyFont="1" applyFill="1" applyBorder="1" applyAlignment="1"/>
    <xf numFmtId="3" fontId="9" fillId="26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3" fontId="21" fillId="11" borderId="1" xfId="0" applyNumberFormat="1" applyFont="1" applyFill="1" applyBorder="1" applyAlignment="1">
      <alignment horizontal="right"/>
    </xf>
    <xf numFmtId="3" fontId="21" fillId="11" borderId="49" xfId="0" applyNumberFormat="1" applyFont="1" applyFill="1" applyBorder="1" applyAlignment="1">
      <alignment horizontal="right"/>
    </xf>
    <xf numFmtId="3" fontId="21" fillId="11" borderId="33" xfId="0" applyNumberFormat="1" applyFont="1" applyFill="1" applyBorder="1"/>
    <xf numFmtId="3" fontId="9" fillId="11" borderId="1" xfId="0" applyNumberFormat="1" applyFont="1" applyFill="1" applyBorder="1" applyAlignment="1">
      <alignment horizontal="right"/>
    </xf>
    <xf numFmtId="3" fontId="26" fillId="11" borderId="12" xfId="0" applyNumberFormat="1" applyFont="1" applyFill="1" applyBorder="1" applyAlignment="1">
      <alignment horizontal="right"/>
    </xf>
    <xf numFmtId="3" fontId="9" fillId="11" borderId="33" xfId="0" applyNumberFormat="1" applyFont="1" applyFill="1" applyBorder="1"/>
    <xf numFmtId="3" fontId="21" fillId="11" borderId="1" xfId="0" applyNumberFormat="1" applyFont="1" applyFill="1" applyBorder="1" applyAlignment="1">
      <alignment horizontal="right" vertical="center"/>
    </xf>
    <xf numFmtId="3" fontId="21" fillId="11" borderId="49" xfId="0" applyNumberFormat="1" applyFont="1" applyFill="1" applyBorder="1" applyAlignment="1">
      <alignment horizontal="right" vertical="center"/>
    </xf>
    <xf numFmtId="0" fontId="21" fillId="0" borderId="6" xfId="0" applyFont="1" applyFill="1" applyBorder="1"/>
    <xf numFmtId="3" fontId="21" fillId="0" borderId="1" xfId="0" applyNumberFormat="1" applyFont="1" applyFill="1" applyBorder="1" applyAlignment="1">
      <alignment horizontal="right" vertical="center"/>
    </xf>
    <xf numFmtId="3" fontId="6" fillId="14" borderId="1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8" fillId="2" borderId="33" xfId="0" applyNumberFormat="1" applyFont="1" applyFill="1" applyBorder="1" applyAlignment="1">
      <alignment horizontal="right"/>
    </xf>
    <xf numFmtId="3" fontId="8" fillId="11" borderId="34" xfId="0" applyNumberFormat="1" applyFont="1" applyFill="1" applyBorder="1" applyAlignment="1">
      <alignment horizontal="right"/>
    </xf>
    <xf numFmtId="3" fontId="9" fillId="15" borderId="32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1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/>
    <xf numFmtId="3" fontId="26" fillId="11" borderId="3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3" fontId="62" fillId="25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62" fillId="25" borderId="33" xfId="0" applyNumberFormat="1" applyFont="1" applyFill="1" applyBorder="1" applyAlignment="1">
      <alignment horizontal="right" vertical="center"/>
    </xf>
    <xf numFmtId="3" fontId="7" fillId="8" borderId="34" xfId="0" applyNumberFormat="1" applyFont="1" applyFill="1" applyBorder="1" applyAlignment="1">
      <alignment horizontal="right"/>
    </xf>
    <xf numFmtId="3" fontId="7" fillId="11" borderId="34" xfId="0" applyNumberFormat="1" applyFont="1" applyFill="1" applyBorder="1" applyAlignment="1">
      <alignment horizontal="right"/>
    </xf>
    <xf numFmtId="3" fontId="8" fillId="8" borderId="3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3" fontId="25" fillId="2" borderId="34" xfId="0" applyNumberFormat="1" applyFont="1" applyFill="1" applyBorder="1"/>
    <xf numFmtId="3" fontId="7" fillId="2" borderId="34" xfId="0" applyNumberFormat="1" applyFont="1" applyFill="1" applyBorder="1"/>
    <xf numFmtId="3" fontId="8" fillId="2" borderId="34" xfId="0" applyNumberFormat="1" applyFont="1" applyFill="1" applyBorder="1"/>
    <xf numFmtId="3" fontId="25" fillId="0" borderId="34" xfId="0" applyNumberFormat="1" applyFont="1" applyFill="1" applyBorder="1"/>
    <xf numFmtId="3" fontId="87" fillId="25" borderId="59" xfId="0" applyNumberFormat="1" applyFont="1" applyFill="1" applyBorder="1"/>
    <xf numFmtId="3" fontId="87" fillId="25" borderId="33" xfId="0" applyNumberFormat="1" applyFont="1" applyFill="1" applyBorder="1"/>
    <xf numFmtId="3" fontId="87" fillId="25" borderId="40" xfId="0" applyNumberFormat="1" applyFont="1" applyFill="1" applyBorder="1"/>
    <xf numFmtId="0" fontId="63" fillId="23" borderId="28" xfId="0" applyFont="1" applyFill="1" applyBorder="1" applyAlignment="1"/>
    <xf numFmtId="0" fontId="67" fillId="23" borderId="6" xfId="0" applyFont="1" applyFill="1" applyBorder="1" applyAlignment="1"/>
    <xf numFmtId="0" fontId="16" fillId="11" borderId="26" xfId="0" applyFont="1" applyFill="1" applyBorder="1" applyAlignment="1"/>
    <xf numFmtId="0" fontId="11" fillId="11" borderId="5" xfId="0" applyFont="1" applyFill="1" applyBorder="1" applyAlignment="1"/>
    <xf numFmtId="0" fontId="42" fillId="7" borderId="60" xfId="0" applyFont="1" applyFill="1" applyBorder="1" applyAlignment="1">
      <alignment horizontal="left" vertical="center"/>
    </xf>
    <xf numFmtId="0" fontId="3" fillId="11" borderId="57" xfId="0" applyFont="1" applyFill="1" applyBorder="1" applyAlignment="1">
      <alignment horizontal="center"/>
    </xf>
    <xf numFmtId="3" fontId="9" fillId="11" borderId="34" xfId="0" applyNumberFormat="1" applyFont="1" applyFill="1" applyBorder="1"/>
    <xf numFmtId="3" fontId="6" fillId="11" borderId="29" xfId="0" applyNumberFormat="1" applyFont="1" applyFill="1" applyBorder="1"/>
    <xf numFmtId="0" fontId="3" fillId="0" borderId="32" xfId="0" applyFont="1" applyFill="1" applyBorder="1" applyAlignment="1">
      <alignment horizontal="center"/>
    </xf>
    <xf numFmtId="3" fontId="22" fillId="8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4" fillId="0" borderId="25" xfId="0" applyFont="1" applyBorder="1"/>
    <xf numFmtId="0" fontId="3" fillId="2" borderId="25" xfId="0" applyFont="1" applyFill="1" applyBorder="1"/>
    <xf numFmtId="3" fontId="8" fillId="2" borderId="2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4" fillId="0" borderId="8" xfId="0" applyFont="1" applyBorder="1"/>
    <xf numFmtId="3" fontId="8" fillId="2" borderId="8" xfId="0" applyNumberFormat="1" applyFont="1" applyFill="1" applyBorder="1" applyAlignment="1">
      <alignment horizontal="right"/>
    </xf>
    <xf numFmtId="0" fontId="80" fillId="3" borderId="5" xfId="0" applyFont="1" applyFill="1" applyBorder="1" applyAlignment="1"/>
    <xf numFmtId="0" fontId="4" fillId="11" borderId="1" xfId="0" applyFont="1" applyFill="1" applyBorder="1"/>
    <xf numFmtId="0" fontId="9" fillId="26" borderId="1" xfId="0" applyFont="1" applyFill="1" applyBorder="1" applyAlignment="1"/>
    <xf numFmtId="0" fontId="21" fillId="0" borderId="4" xfId="0" applyFont="1" applyFill="1" applyBorder="1" applyAlignment="1">
      <alignment vertical="center" wrapText="1"/>
    </xf>
    <xf numFmtId="0" fontId="21" fillId="11" borderId="2" xfId="0" applyFont="1" applyFill="1" applyBorder="1" applyAlignment="1">
      <alignment wrapText="1"/>
    </xf>
    <xf numFmtId="0" fontId="14" fillId="0" borderId="42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/>
    <xf numFmtId="3" fontId="8" fillId="2" borderId="30" xfId="0" applyNumberFormat="1" applyFont="1" applyFill="1" applyBorder="1" applyAlignment="1">
      <alignment horizontal="right"/>
    </xf>
    <xf numFmtId="3" fontId="38" fillId="25" borderId="30" xfId="0" applyNumberFormat="1" applyFont="1" applyFill="1" applyBorder="1" applyAlignment="1">
      <alignment vertical="center"/>
    </xf>
    <xf numFmtId="0" fontId="57" fillId="17" borderId="24" xfId="0" applyFont="1" applyFill="1" applyBorder="1" applyAlignment="1">
      <alignment vertical="center"/>
    </xf>
    <xf numFmtId="0" fontId="1" fillId="0" borderId="6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49" fontId="13" fillId="11" borderId="11" xfId="0" applyNumberFormat="1" applyFont="1" applyFill="1" applyBorder="1" applyAlignment="1">
      <alignment horizontal="center"/>
    </xf>
    <xf numFmtId="3" fontId="9" fillId="11" borderId="37" xfId="0" applyNumberFormat="1" applyFont="1" applyFill="1" applyBorder="1"/>
    <xf numFmtId="0" fontId="1" fillId="0" borderId="12" xfId="0" applyFont="1" applyBorder="1" applyAlignment="1">
      <alignment horizontal="center"/>
    </xf>
    <xf numFmtId="49" fontId="40" fillId="11" borderId="1" xfId="0" applyNumberFormat="1" applyFont="1" applyFill="1" applyBorder="1" applyAlignment="1">
      <alignment horizontal="left"/>
    </xf>
    <xf numFmtId="49" fontId="4" fillId="15" borderId="1" xfId="0" applyNumberFormat="1" applyFont="1" applyFill="1" applyBorder="1" applyAlignment="1">
      <alignment horizontal="center"/>
    </xf>
    <xf numFmtId="3" fontId="40" fillId="11" borderId="5" xfId="0" applyNumberFormat="1" applyFont="1" applyFill="1" applyBorder="1" applyAlignment="1">
      <alignment horizontal="right"/>
    </xf>
    <xf numFmtId="0" fontId="9" fillId="26" borderId="26" xfId="0" applyFont="1" applyFill="1" applyBorder="1" applyAlignment="1"/>
    <xf numFmtId="0" fontId="13" fillId="26" borderId="26" xfId="0" applyFont="1" applyFill="1" applyBorder="1" applyAlignment="1">
      <alignment horizontal="center"/>
    </xf>
    <xf numFmtId="0" fontId="13" fillId="26" borderId="26" xfId="0" applyFont="1" applyFill="1" applyBorder="1" applyAlignment="1"/>
    <xf numFmtId="0" fontId="6" fillId="26" borderId="4" xfId="0" applyFont="1" applyFill="1" applyBorder="1" applyAlignment="1"/>
    <xf numFmtId="3" fontId="44" fillId="0" borderId="5" xfId="0" applyNumberFormat="1" applyFont="1" applyFill="1" applyBorder="1" applyAlignment="1">
      <alignment horizontal="right"/>
    </xf>
    <xf numFmtId="0" fontId="36" fillId="0" borderId="61" xfId="0" applyFont="1" applyBorder="1" applyAlignment="1">
      <alignment horizontal="center"/>
    </xf>
    <xf numFmtId="49" fontId="4" fillId="11" borderId="11" xfId="0" applyNumberFormat="1" applyFont="1" applyFill="1" applyBorder="1" applyAlignment="1">
      <alignment horizontal="left" vertical="center" wrapText="1"/>
    </xf>
    <xf numFmtId="0" fontId="21" fillId="11" borderId="9" xfId="0" applyFont="1" applyFill="1" applyBorder="1" applyAlignment="1">
      <alignment horizontal="left" vertical="center" wrapText="1"/>
    </xf>
    <xf numFmtId="49" fontId="4" fillId="11" borderId="1" xfId="0" applyNumberFormat="1" applyFont="1" applyFill="1" applyBorder="1" applyAlignment="1">
      <alignment horizontal="left" vertical="center" wrapText="1"/>
    </xf>
    <xf numFmtId="0" fontId="79" fillId="0" borderId="4" xfId="0" applyFont="1" applyFill="1" applyBorder="1" applyAlignment="1">
      <alignment horizontal="left" vertical="center" wrapText="1"/>
    </xf>
    <xf numFmtId="3" fontId="4" fillId="11" borderId="5" xfId="0" applyNumberFormat="1" applyFont="1" applyFill="1" applyBorder="1" applyAlignment="1">
      <alignment vertical="center"/>
    </xf>
    <xf numFmtId="3" fontId="21" fillId="11" borderId="1" xfId="0" applyNumberFormat="1" applyFont="1" applyFill="1" applyBorder="1" applyAlignment="1">
      <alignment vertical="center"/>
    </xf>
    <xf numFmtId="0" fontId="10" fillId="3" borderId="26" xfId="0" applyFont="1" applyFill="1" applyBorder="1" applyAlignment="1"/>
    <xf numFmtId="3" fontId="21" fillId="0" borderId="1" xfId="0" applyNumberFormat="1" applyFont="1" applyFill="1" applyBorder="1" applyAlignment="1">
      <alignment vertical="center"/>
    </xf>
    <xf numFmtId="3" fontId="21" fillId="11" borderId="18" xfId="0" applyNumberFormat="1" applyFont="1" applyFill="1" applyBorder="1" applyAlignment="1">
      <alignment horizontal="right"/>
    </xf>
    <xf numFmtId="0" fontId="36" fillId="0" borderId="12" xfId="0" applyFont="1" applyBorder="1" applyAlignment="1">
      <alignment horizontal="center"/>
    </xf>
    <xf numFmtId="4" fontId="0" fillId="0" borderId="0" xfId="0" applyNumberFormat="1"/>
    <xf numFmtId="0" fontId="83" fillId="12" borderId="1" xfId="0" applyFont="1" applyFill="1" applyBorder="1" applyAlignment="1">
      <alignment horizontal="right"/>
    </xf>
    <xf numFmtId="3" fontId="83" fillId="12" borderId="1" xfId="0" applyNumberFormat="1" applyFont="1" applyFill="1" applyBorder="1"/>
    <xf numFmtId="0" fontId="83" fillId="12" borderId="1" xfId="0" applyFont="1" applyFill="1" applyBorder="1"/>
    <xf numFmtId="3" fontId="0" fillId="2" borderId="0" xfId="0" applyNumberFormat="1" applyFill="1" applyBorder="1"/>
    <xf numFmtId="0" fontId="14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2" borderId="47" xfId="0" applyNumberFormat="1" applyFont="1" applyFill="1" applyBorder="1"/>
    <xf numFmtId="3" fontId="8" fillId="2" borderId="37" xfId="0" applyNumberFormat="1" applyFont="1" applyFill="1" applyBorder="1" applyAlignment="1">
      <alignment horizontal="right"/>
    </xf>
    <xf numFmtId="0" fontId="21" fillId="29" borderId="1" xfId="0" applyFont="1" applyFill="1" applyBorder="1"/>
    <xf numFmtId="3" fontId="21" fillId="29" borderId="1" xfId="0" applyNumberFormat="1" applyFont="1" applyFill="1" applyBorder="1" applyAlignment="1">
      <alignment horizontal="right"/>
    </xf>
    <xf numFmtId="3" fontId="4" fillId="11" borderId="1" xfId="0" applyNumberFormat="1" applyFont="1" applyFill="1" applyBorder="1" applyAlignment="1">
      <alignment horizontal="right"/>
    </xf>
    <xf numFmtId="3" fontId="4" fillId="11" borderId="26" xfId="0" applyNumberFormat="1" applyFont="1" applyFill="1" applyBorder="1" applyAlignment="1">
      <alignment horizontal="right"/>
    </xf>
    <xf numFmtId="0" fontId="3" fillId="11" borderId="49" xfId="0" applyFont="1" applyFill="1" applyBorder="1" applyAlignment="1">
      <alignment horizontal="center"/>
    </xf>
    <xf numFmtId="0" fontId="21" fillId="11" borderId="49" xfId="0" applyFont="1" applyFill="1" applyBorder="1"/>
    <xf numFmtId="49" fontId="4" fillId="11" borderId="26" xfId="0" applyNumberFormat="1" applyFont="1" applyFill="1" applyBorder="1" applyAlignment="1">
      <alignment horizontal="center"/>
    </xf>
    <xf numFmtId="3" fontId="9" fillId="26" borderId="12" xfId="0" applyNumberFormat="1" applyFont="1" applyFill="1" applyBorder="1" applyAlignment="1">
      <alignment horizontal="right"/>
    </xf>
    <xf numFmtId="0" fontId="36" fillId="0" borderId="13" xfId="0" applyFont="1" applyBorder="1" applyAlignment="1">
      <alignment horizontal="center"/>
    </xf>
    <xf numFmtId="3" fontId="4" fillId="11" borderId="49" xfId="0" applyNumberFormat="1" applyFont="1" applyFill="1" applyBorder="1" applyAlignment="1">
      <alignment horizontal="right"/>
    </xf>
    <xf numFmtId="3" fontId="4" fillId="11" borderId="68" xfId="0" applyNumberFormat="1" applyFont="1" applyFill="1" applyBorder="1" applyAlignment="1">
      <alignment horizontal="right"/>
    </xf>
    <xf numFmtId="49" fontId="13" fillId="11" borderId="2" xfId="0" applyNumberFormat="1" applyFont="1" applyFill="1" applyBorder="1" applyAlignment="1">
      <alignment horizontal="center"/>
    </xf>
    <xf numFmtId="49" fontId="13" fillId="11" borderId="49" xfId="0" applyNumberFormat="1" applyFont="1" applyFill="1" applyBorder="1" applyAlignment="1">
      <alignment horizontal="center"/>
    </xf>
    <xf numFmtId="49" fontId="4" fillId="11" borderId="49" xfId="0" applyNumberFormat="1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/>
    </xf>
    <xf numFmtId="3" fontId="21" fillId="11" borderId="13" xfId="0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/>
    </xf>
    <xf numFmtId="3" fontId="21" fillId="11" borderId="29" xfId="0" applyNumberFormat="1" applyFont="1" applyFill="1" applyBorder="1" applyAlignment="1">
      <alignment horizontal="right" vertical="center"/>
    </xf>
    <xf numFmtId="0" fontId="3" fillId="11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11" borderId="42" xfId="0" applyNumberFormat="1" applyFont="1" applyFill="1" applyBorder="1" applyAlignment="1">
      <alignment horizontal="center"/>
    </xf>
    <xf numFmtId="0" fontId="4" fillId="11" borderId="72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3" fontId="4" fillId="11" borderId="41" xfId="0" applyNumberFormat="1" applyFont="1" applyFill="1" applyBorder="1" applyAlignment="1">
      <alignment horizontal="right"/>
    </xf>
    <xf numFmtId="0" fontId="3" fillId="2" borderId="0" xfId="0" applyFont="1" applyFill="1" applyBorder="1"/>
    <xf numFmtId="3" fontId="6" fillId="11" borderId="3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" fillId="29" borderId="49" xfId="0" applyFont="1" applyFill="1" applyBorder="1" applyAlignment="1">
      <alignment horizontal="center"/>
    </xf>
    <xf numFmtId="0" fontId="21" fillId="29" borderId="49" xfId="0" applyFont="1" applyFill="1" applyBorder="1"/>
    <xf numFmtId="3" fontId="4" fillId="29" borderId="1" xfId="0" applyNumberFormat="1" applyFont="1" applyFill="1" applyBorder="1" applyAlignment="1">
      <alignment horizontal="right"/>
    </xf>
    <xf numFmtId="3" fontId="4" fillId="29" borderId="26" xfId="0" applyNumberFormat="1" applyFont="1" applyFill="1" applyBorder="1" applyAlignment="1">
      <alignment horizontal="right"/>
    </xf>
    <xf numFmtId="3" fontId="21" fillId="29" borderId="33" xfId="0" applyNumberFormat="1" applyFont="1" applyFill="1" applyBorder="1"/>
    <xf numFmtId="0" fontId="3" fillId="29" borderId="1" xfId="0" applyFont="1" applyFill="1" applyBorder="1" applyAlignment="1">
      <alignment horizontal="center"/>
    </xf>
    <xf numFmtId="3" fontId="21" fillId="29" borderId="11" xfId="0" applyNumberFormat="1" applyFont="1" applyFill="1" applyBorder="1" applyAlignment="1">
      <alignment horizontal="right"/>
    </xf>
    <xf numFmtId="3" fontId="4" fillId="29" borderId="11" xfId="0" applyNumberFormat="1" applyFont="1" applyFill="1" applyBorder="1" applyAlignment="1">
      <alignment horizontal="right"/>
    </xf>
    <xf numFmtId="3" fontId="4" fillId="29" borderId="73" xfId="0" applyNumberFormat="1" applyFont="1" applyFill="1" applyBorder="1" applyAlignment="1">
      <alignment horizontal="right"/>
    </xf>
    <xf numFmtId="3" fontId="21" fillId="29" borderId="37" xfId="0" applyNumberFormat="1" applyFont="1" applyFill="1" applyBorder="1"/>
    <xf numFmtId="3" fontId="21" fillId="29" borderId="49" xfId="0" applyNumberFormat="1" applyFont="1" applyFill="1" applyBorder="1" applyAlignment="1">
      <alignment horizontal="right"/>
    </xf>
    <xf numFmtId="3" fontId="4" fillId="29" borderId="49" xfId="0" applyNumberFormat="1" applyFont="1" applyFill="1" applyBorder="1" applyAlignment="1">
      <alignment horizontal="right"/>
    </xf>
    <xf numFmtId="3" fontId="4" fillId="29" borderId="68" xfId="0" applyNumberFormat="1" applyFont="1" applyFill="1" applyBorder="1" applyAlignment="1">
      <alignment horizontal="right"/>
    </xf>
    <xf numFmtId="3" fontId="21" fillId="29" borderId="29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21" fillId="14" borderId="1" xfId="0" applyFont="1" applyFill="1" applyBorder="1"/>
    <xf numFmtId="3" fontId="4" fillId="14" borderId="49" xfId="0" applyNumberFormat="1" applyFont="1" applyFill="1" applyBorder="1" applyAlignment="1">
      <alignment horizontal="right"/>
    </xf>
    <xf numFmtId="3" fontId="4" fillId="14" borderId="68" xfId="0" applyNumberFormat="1" applyFont="1" applyFill="1" applyBorder="1" applyAlignment="1">
      <alignment horizontal="right"/>
    </xf>
    <xf numFmtId="3" fontId="21" fillId="14" borderId="29" xfId="0" applyNumberFormat="1" applyFont="1" applyFill="1" applyBorder="1"/>
    <xf numFmtId="0" fontId="3" fillId="30" borderId="1" xfId="0" applyFont="1" applyFill="1" applyBorder="1" applyAlignment="1">
      <alignment horizontal="center"/>
    </xf>
    <xf numFmtId="0" fontId="21" fillId="30" borderId="1" xfId="0" applyFont="1" applyFill="1" applyBorder="1"/>
    <xf numFmtId="3" fontId="21" fillId="30" borderId="49" xfId="0" applyNumberFormat="1" applyFont="1" applyFill="1" applyBorder="1" applyAlignment="1">
      <alignment horizontal="right"/>
    </xf>
    <xf numFmtId="3" fontId="4" fillId="30" borderId="49" xfId="0" applyNumberFormat="1" applyFont="1" applyFill="1" applyBorder="1" applyAlignment="1">
      <alignment horizontal="right"/>
    </xf>
    <xf numFmtId="3" fontId="4" fillId="30" borderId="68" xfId="0" applyNumberFormat="1" applyFont="1" applyFill="1" applyBorder="1" applyAlignment="1">
      <alignment horizontal="right"/>
    </xf>
    <xf numFmtId="3" fontId="21" fillId="30" borderId="29" xfId="0" applyNumberFormat="1" applyFont="1" applyFill="1" applyBorder="1"/>
    <xf numFmtId="0" fontId="3" fillId="30" borderId="1" xfId="0" applyFont="1" applyFill="1" applyBorder="1" applyAlignment="1">
      <alignment horizontal="center" vertical="center"/>
    </xf>
    <xf numFmtId="0" fontId="4" fillId="30" borderId="1" xfId="0" applyFont="1" applyFill="1" applyBorder="1" applyAlignment="1">
      <alignment vertical="center" wrapText="1"/>
    </xf>
    <xf numFmtId="3" fontId="21" fillId="30" borderId="49" xfId="0" applyNumberFormat="1" applyFont="1" applyFill="1" applyBorder="1" applyAlignment="1">
      <alignment horizontal="right" vertical="center"/>
    </xf>
    <xf numFmtId="3" fontId="4" fillId="30" borderId="49" xfId="0" applyNumberFormat="1" applyFont="1" applyFill="1" applyBorder="1" applyAlignment="1">
      <alignment horizontal="right" vertical="center"/>
    </xf>
    <xf numFmtId="3" fontId="4" fillId="30" borderId="68" xfId="0" applyNumberFormat="1" applyFont="1" applyFill="1" applyBorder="1" applyAlignment="1">
      <alignment horizontal="right" vertical="center"/>
    </xf>
    <xf numFmtId="3" fontId="21" fillId="30" borderId="29" xfId="0" applyNumberFormat="1" applyFont="1" applyFill="1" applyBorder="1" applyAlignment="1">
      <alignment vertical="center"/>
    </xf>
    <xf numFmtId="0" fontId="3" fillId="30" borderId="49" xfId="0" applyFont="1" applyFill="1" applyBorder="1" applyAlignment="1">
      <alignment horizontal="center"/>
    </xf>
    <xf numFmtId="0" fontId="4" fillId="30" borderId="49" xfId="0" applyFont="1" applyFill="1" applyBorder="1" applyAlignment="1">
      <alignment wrapText="1"/>
    </xf>
    <xf numFmtId="0" fontId="21" fillId="32" borderId="2" xfId="0" applyFont="1" applyFill="1" applyBorder="1"/>
    <xf numFmtId="3" fontId="21" fillId="32" borderId="1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21" fillId="32" borderId="3" xfId="0" applyNumberFormat="1" applyFont="1" applyFill="1" applyBorder="1" applyAlignment="1">
      <alignment horizontal="right"/>
    </xf>
    <xf numFmtId="3" fontId="21" fillId="32" borderId="34" xfId="0" applyNumberFormat="1" applyFont="1" applyFill="1" applyBorder="1"/>
    <xf numFmtId="0" fontId="21" fillId="22" borderId="2" xfId="0" applyFont="1" applyFill="1" applyBorder="1"/>
    <xf numFmtId="3" fontId="21" fillId="22" borderId="1" xfId="0" applyNumberFormat="1" applyFont="1" applyFill="1" applyBorder="1" applyAlignment="1">
      <alignment horizontal="right"/>
    </xf>
    <xf numFmtId="3" fontId="4" fillId="22" borderId="0" xfId="0" applyNumberFormat="1" applyFont="1" applyFill="1" applyBorder="1" applyAlignment="1">
      <alignment horizontal="right"/>
    </xf>
    <xf numFmtId="0" fontId="21" fillId="30" borderId="2" xfId="0" applyFont="1" applyFill="1" applyBorder="1"/>
    <xf numFmtId="3" fontId="21" fillId="30" borderId="1" xfId="0" applyNumberFormat="1" applyFont="1" applyFill="1" applyBorder="1" applyAlignment="1">
      <alignment horizontal="right"/>
    </xf>
    <xf numFmtId="3" fontId="4" fillId="30" borderId="0" xfId="0" applyNumberFormat="1" applyFont="1" applyFill="1" applyBorder="1" applyAlignment="1">
      <alignment horizontal="right"/>
    </xf>
    <xf numFmtId="3" fontId="21" fillId="30" borderId="3" xfId="0" applyNumberFormat="1" applyFont="1" applyFill="1" applyBorder="1" applyAlignment="1">
      <alignment horizontal="right"/>
    </xf>
    <xf numFmtId="3" fontId="21" fillId="30" borderId="34" xfId="0" applyNumberFormat="1" applyFont="1" applyFill="1" applyBorder="1"/>
    <xf numFmtId="0" fontId="3" fillId="32" borderId="1" xfId="0" applyFont="1" applyFill="1" applyBorder="1" applyAlignment="1">
      <alignment horizontal="center"/>
    </xf>
    <xf numFmtId="0" fontId="21" fillId="14" borderId="4" xfId="0" applyFont="1" applyFill="1" applyBorder="1"/>
    <xf numFmtId="3" fontId="4" fillId="14" borderId="0" xfId="0" applyNumberFormat="1" applyFont="1" applyFill="1" applyBorder="1" applyAlignment="1">
      <alignment horizontal="right"/>
    </xf>
    <xf numFmtId="3" fontId="21" fillId="14" borderId="33" xfId="0" applyNumberFormat="1" applyFont="1" applyFill="1" applyBorder="1"/>
    <xf numFmtId="49" fontId="4" fillId="31" borderId="3" xfId="0" applyNumberFormat="1" applyFont="1" applyFill="1" applyBorder="1" applyAlignment="1">
      <alignment horizontal="center"/>
    </xf>
    <xf numFmtId="0" fontId="21" fillId="31" borderId="2" xfId="0" applyFont="1" applyFill="1" applyBorder="1"/>
    <xf numFmtId="3" fontId="21" fillId="31" borderId="1" xfId="0" applyNumberFormat="1" applyFont="1" applyFill="1" applyBorder="1" applyAlignment="1">
      <alignment horizontal="right"/>
    </xf>
    <xf numFmtId="3" fontId="13" fillId="31" borderId="0" xfId="0" applyNumberFormat="1" applyFont="1" applyFill="1" applyBorder="1" applyAlignment="1">
      <alignment horizontal="right"/>
    </xf>
    <xf numFmtId="3" fontId="21" fillId="31" borderId="32" xfId="0" applyNumberFormat="1" applyFont="1" applyFill="1" applyBorder="1" applyAlignment="1">
      <alignment horizontal="right"/>
    </xf>
    <xf numFmtId="3" fontId="26" fillId="31" borderId="29" xfId="0" applyNumberFormat="1" applyFont="1" applyFill="1" applyBorder="1"/>
    <xf numFmtId="3" fontId="13" fillId="22" borderId="0" xfId="0" applyNumberFormat="1" applyFont="1" applyFill="1" applyBorder="1" applyAlignment="1">
      <alignment horizontal="right"/>
    </xf>
    <xf numFmtId="3" fontId="26" fillId="22" borderId="29" xfId="0" applyNumberFormat="1" applyFont="1" applyFill="1" applyBorder="1"/>
    <xf numFmtId="49" fontId="4" fillId="30" borderId="3" xfId="0" applyNumberFormat="1" applyFont="1" applyFill="1" applyBorder="1" applyAlignment="1">
      <alignment horizontal="center"/>
    </xf>
    <xf numFmtId="3" fontId="13" fillId="30" borderId="0" xfId="0" applyNumberFormat="1" applyFont="1" applyFill="1" applyBorder="1" applyAlignment="1">
      <alignment horizontal="right"/>
    </xf>
    <xf numFmtId="3" fontId="21" fillId="30" borderId="32" xfId="0" applyNumberFormat="1" applyFont="1" applyFill="1" applyBorder="1" applyAlignment="1">
      <alignment horizontal="right"/>
    </xf>
    <xf numFmtId="3" fontId="26" fillId="30" borderId="29" xfId="0" applyNumberFormat="1" applyFont="1" applyFill="1" applyBorder="1"/>
    <xf numFmtId="49" fontId="13" fillId="22" borderId="26" xfId="0" applyNumberFormat="1" applyFont="1" applyFill="1" applyBorder="1" applyAlignment="1">
      <alignment horizontal="center"/>
    </xf>
    <xf numFmtId="0" fontId="6" fillId="22" borderId="2" xfId="0" applyFont="1" applyFill="1" applyBorder="1"/>
    <xf numFmtId="3" fontId="6" fillId="22" borderId="1" xfId="0" applyNumberFormat="1" applyFont="1" applyFill="1" applyBorder="1" applyAlignment="1">
      <alignment horizontal="right"/>
    </xf>
    <xf numFmtId="3" fontId="9" fillId="22" borderId="29" xfId="0" applyNumberFormat="1" applyFont="1" applyFill="1" applyBorder="1"/>
    <xf numFmtId="3" fontId="21" fillId="22" borderId="38" xfId="0" applyNumberFormat="1" applyFont="1" applyFill="1" applyBorder="1" applyAlignment="1">
      <alignment horizontal="right"/>
    </xf>
    <xf numFmtId="3" fontId="6" fillId="22" borderId="32" xfId="0" applyNumberFormat="1" applyFont="1" applyFill="1" applyBorder="1" applyAlignment="1">
      <alignment horizontal="right"/>
    </xf>
    <xf numFmtId="3" fontId="21" fillId="22" borderId="32" xfId="0" applyNumberFormat="1" applyFont="1" applyFill="1" applyBorder="1" applyAlignment="1">
      <alignment horizontal="right" vertical="center"/>
    </xf>
    <xf numFmtId="3" fontId="4" fillId="22" borderId="0" xfId="0" applyNumberFormat="1" applyFont="1" applyFill="1" applyBorder="1" applyAlignment="1">
      <alignment horizontal="right" vertical="center"/>
    </xf>
    <xf numFmtId="3" fontId="26" fillId="22" borderId="29" xfId="0" applyNumberFormat="1" applyFont="1" applyFill="1" applyBorder="1" applyAlignment="1">
      <alignment vertical="center"/>
    </xf>
    <xf numFmtId="0" fontId="3" fillId="32" borderId="1" xfId="0" applyFont="1" applyFill="1" applyBorder="1" applyAlignment="1">
      <alignment horizontal="center" vertical="center"/>
    </xf>
    <xf numFmtId="0" fontId="79" fillId="32" borderId="2" xfId="0" applyFont="1" applyFill="1" applyBorder="1" applyAlignment="1">
      <alignment vertical="center" wrapText="1"/>
    </xf>
    <xf numFmtId="3" fontId="21" fillId="32" borderId="1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horizontal="right" vertical="center"/>
    </xf>
    <xf numFmtId="3" fontId="21" fillId="32" borderId="49" xfId="0" applyNumberFormat="1" applyFont="1" applyFill="1" applyBorder="1" applyAlignment="1">
      <alignment horizontal="right" vertical="center"/>
    </xf>
    <xf numFmtId="3" fontId="21" fillId="32" borderId="33" xfId="0" applyNumberFormat="1" applyFont="1" applyFill="1" applyBorder="1" applyAlignment="1">
      <alignment vertical="center"/>
    </xf>
    <xf numFmtId="0" fontId="3" fillId="14" borderId="3" xfId="0" applyFont="1" applyFill="1" applyBorder="1" applyAlignment="1">
      <alignment horizontal="center"/>
    </xf>
    <xf numFmtId="0" fontId="21" fillId="14" borderId="6" xfId="0" applyFont="1" applyFill="1" applyBorder="1"/>
    <xf numFmtId="3" fontId="21" fillId="14" borderId="1" xfId="0" applyNumberFormat="1" applyFont="1" applyFill="1" applyBorder="1" applyAlignment="1">
      <alignment horizontal="right"/>
    </xf>
    <xf numFmtId="3" fontId="21" fillId="14" borderId="3" xfId="0" applyNumberFormat="1" applyFont="1" applyFill="1" applyBorder="1" applyAlignment="1">
      <alignment horizontal="right"/>
    </xf>
    <xf numFmtId="3" fontId="21" fillId="14" borderId="34" xfId="0" applyNumberFormat="1" applyFont="1" applyFill="1" applyBorder="1"/>
    <xf numFmtId="0" fontId="36" fillId="0" borderId="10" xfId="0" applyFont="1" applyBorder="1" applyAlignment="1">
      <alignment horizontal="center" vertical="center"/>
    </xf>
    <xf numFmtId="3" fontId="40" fillId="26" borderId="12" xfId="0" applyNumberFormat="1" applyFont="1" applyFill="1" applyBorder="1" applyAlignment="1">
      <alignment horizontal="right"/>
    </xf>
    <xf numFmtId="0" fontId="21" fillId="32" borderId="1" xfId="0" applyFont="1" applyFill="1" applyBorder="1"/>
    <xf numFmtId="3" fontId="4" fillId="32" borderId="1" xfId="0" applyNumberFormat="1" applyFont="1" applyFill="1" applyBorder="1" applyAlignment="1">
      <alignment horizontal="right"/>
    </xf>
    <xf numFmtId="3" fontId="4" fillId="11" borderId="38" xfId="0" applyNumberFormat="1" applyFont="1" applyFill="1" applyBorder="1" applyAlignment="1">
      <alignment horizontal="right"/>
    </xf>
    <xf numFmtId="3" fontId="4" fillId="32" borderId="26" xfId="0" applyNumberFormat="1" applyFont="1" applyFill="1" applyBorder="1" applyAlignment="1">
      <alignment horizontal="right"/>
    </xf>
    <xf numFmtId="3" fontId="4" fillId="11" borderId="72" xfId="0" applyNumberFormat="1" applyFont="1" applyFill="1" applyBorder="1" applyAlignment="1">
      <alignment horizontal="right"/>
    </xf>
    <xf numFmtId="3" fontId="21" fillId="32" borderId="33" xfId="0" applyNumberFormat="1" applyFont="1" applyFill="1" applyBorder="1"/>
    <xf numFmtId="0" fontId="6" fillId="11" borderId="9" xfId="0" applyFont="1" applyFill="1" applyBorder="1"/>
    <xf numFmtId="0" fontId="3" fillId="22" borderId="38" xfId="0" applyFont="1" applyFill="1" applyBorder="1" applyAlignment="1">
      <alignment horizontal="center"/>
    </xf>
    <xf numFmtId="0" fontId="4" fillId="22" borderId="38" xfId="0" applyFont="1" applyFill="1" applyBorder="1"/>
    <xf numFmtId="3" fontId="4" fillId="22" borderId="38" xfId="0" applyNumberFormat="1" applyFont="1" applyFill="1" applyBorder="1" applyAlignment="1">
      <alignment horizontal="right"/>
    </xf>
    <xf numFmtId="3" fontId="21" fillId="22" borderId="70" xfId="0" applyNumberFormat="1" applyFont="1" applyFill="1" applyBorder="1"/>
    <xf numFmtId="0" fontId="3" fillId="22" borderId="1" xfId="0" applyFont="1" applyFill="1" applyBorder="1" applyAlignment="1">
      <alignment horizontal="center"/>
    </xf>
    <xf numFmtId="0" fontId="4" fillId="22" borderId="1" xfId="0" applyFont="1" applyFill="1" applyBorder="1"/>
    <xf numFmtId="3" fontId="4" fillId="22" borderId="1" xfId="0" applyNumberFormat="1" applyFont="1" applyFill="1" applyBorder="1" applyAlignment="1">
      <alignment horizontal="right"/>
    </xf>
    <xf numFmtId="3" fontId="21" fillId="22" borderId="71" xfId="0" applyNumberFormat="1" applyFont="1" applyFill="1" applyBorder="1"/>
    <xf numFmtId="0" fontId="4" fillId="11" borderId="2" xfId="0" applyFont="1" applyFill="1" applyBorder="1"/>
    <xf numFmtId="0" fontId="3" fillId="0" borderId="26" xfId="0" applyFont="1" applyBorder="1"/>
    <xf numFmtId="3" fontId="55" fillId="13" borderId="3" xfId="0" applyNumberFormat="1" applyFont="1" applyFill="1" applyBorder="1" applyAlignment="1"/>
    <xf numFmtId="3" fontId="55" fillId="13" borderId="38" xfId="0" applyNumberFormat="1" applyFont="1" applyFill="1" applyBorder="1" applyAlignment="1"/>
    <xf numFmtId="3" fontId="55" fillId="13" borderId="1" xfId="0" applyNumberFormat="1" applyFont="1" applyFill="1" applyBorder="1" applyAlignment="1"/>
    <xf numFmtId="3" fontId="21" fillId="11" borderId="34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21" fillId="0" borderId="34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13" fillId="11" borderId="38" xfId="0" applyFont="1" applyFill="1" applyBorder="1" applyAlignment="1">
      <alignment horizontal="center"/>
    </xf>
    <xf numFmtId="0" fontId="6" fillId="11" borderId="42" xfId="0" applyFont="1" applyFill="1" applyBorder="1"/>
    <xf numFmtId="3" fontId="6" fillId="11" borderId="38" xfId="0" applyNumberFormat="1" applyFont="1" applyFill="1" applyBorder="1" applyAlignment="1">
      <alignment horizontal="right"/>
    </xf>
    <xf numFmtId="3" fontId="9" fillId="11" borderId="30" xfId="0" applyNumberFormat="1" applyFont="1" applyFill="1" applyBorder="1"/>
    <xf numFmtId="3" fontId="26" fillId="11" borderId="10" xfId="0" applyNumberFormat="1" applyFont="1" applyFill="1" applyBorder="1" applyAlignment="1">
      <alignment horizontal="right"/>
    </xf>
    <xf numFmtId="0" fontId="4" fillId="30" borderId="1" xfId="0" applyFont="1" applyFill="1" applyBorder="1" applyAlignment="1">
      <alignment horizontal="left" vertical="center" wrapText="1"/>
    </xf>
    <xf numFmtId="3" fontId="21" fillId="30" borderId="49" xfId="0" applyNumberFormat="1" applyFont="1" applyFill="1" applyBorder="1" applyAlignment="1">
      <alignment vertical="center"/>
    </xf>
    <xf numFmtId="0" fontId="0" fillId="2" borderId="1" xfId="0" applyFill="1" applyBorder="1"/>
    <xf numFmtId="0" fontId="0" fillId="2" borderId="38" xfId="0" applyFill="1" applyBorder="1"/>
    <xf numFmtId="3" fontId="4" fillId="11" borderId="47" xfId="0" applyNumberFormat="1" applyFont="1" applyFill="1" applyBorder="1" applyAlignment="1">
      <alignment horizontal="right"/>
    </xf>
    <xf numFmtId="49" fontId="3" fillId="0" borderId="49" xfId="0" applyNumberFormat="1" applyFont="1" applyBorder="1" applyAlignment="1">
      <alignment horizontal="center"/>
    </xf>
    <xf numFmtId="3" fontId="8" fillId="2" borderId="71" xfId="0" applyNumberFormat="1" applyFont="1" applyFill="1" applyBorder="1" applyAlignment="1">
      <alignment horizontal="right"/>
    </xf>
    <xf numFmtId="0" fontId="3" fillId="0" borderId="74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49" fontId="4" fillId="2" borderId="38" xfId="0" applyNumberFormat="1" applyFont="1" applyFill="1" applyBorder="1" applyAlignment="1">
      <alignment horizontal="center"/>
    </xf>
    <xf numFmtId="49" fontId="13" fillId="2" borderId="38" xfId="0" applyNumberFormat="1" applyFont="1" applyFill="1" applyBorder="1" applyAlignment="1">
      <alignment horizontal="center"/>
    </xf>
    <xf numFmtId="0" fontId="7" fillId="2" borderId="38" xfId="0" applyFont="1" applyFill="1" applyBorder="1"/>
    <xf numFmtId="3" fontId="6" fillId="2" borderId="75" xfId="0" applyNumberFormat="1" applyFont="1" applyFill="1" applyBorder="1" applyAlignment="1">
      <alignment horizontal="right"/>
    </xf>
    <xf numFmtId="3" fontId="6" fillId="2" borderId="76" xfId="0" applyNumberFormat="1" applyFont="1" applyFill="1" applyBorder="1" applyAlignment="1">
      <alignment horizontal="right"/>
    </xf>
    <xf numFmtId="0" fontId="3" fillId="2" borderId="71" xfId="0" applyFont="1" applyFill="1" applyBorder="1"/>
    <xf numFmtId="0" fontId="3" fillId="2" borderId="70" xfId="0" applyFont="1" applyFill="1" applyBorder="1"/>
    <xf numFmtId="0" fontId="2" fillId="11" borderId="38" xfId="0" applyFont="1" applyFill="1" applyBorder="1" applyAlignment="1">
      <alignment horizontal="center"/>
    </xf>
    <xf numFmtId="0" fontId="6" fillId="11" borderId="38" xfId="0" applyFont="1" applyFill="1" applyBorder="1"/>
    <xf numFmtId="3" fontId="9" fillId="11" borderId="70" xfId="0" applyNumberFormat="1" applyFont="1" applyFill="1" applyBorder="1"/>
    <xf numFmtId="0" fontId="21" fillId="22" borderId="2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11" borderId="0" xfId="0" applyNumberFormat="1" applyFont="1" applyFill="1" applyBorder="1" applyAlignment="1">
      <alignment horizontal="right"/>
    </xf>
    <xf numFmtId="3" fontId="3" fillId="8" borderId="37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4" fillId="11" borderId="34" xfId="0" applyNumberFormat="1" applyFont="1" applyFill="1" applyBorder="1" applyAlignment="1">
      <alignment horizontal="right"/>
    </xf>
    <xf numFmtId="3" fontId="3" fillId="2" borderId="71" xfId="0" applyNumberFormat="1" applyFont="1" applyFill="1" applyBorder="1" applyAlignment="1">
      <alignment horizontal="right"/>
    </xf>
    <xf numFmtId="3" fontId="1" fillId="0" borderId="0" xfId="0" applyNumberFormat="1" applyFont="1"/>
    <xf numFmtId="0" fontId="1" fillId="0" borderId="0" xfId="0" applyFont="1"/>
    <xf numFmtId="0" fontId="1" fillId="11" borderId="0" xfId="0" applyFont="1" applyFill="1"/>
    <xf numFmtId="0" fontId="3" fillId="2" borderId="75" xfId="0" applyFont="1" applyFill="1" applyBorder="1"/>
    <xf numFmtId="0" fontId="3" fillId="11" borderId="75" xfId="0" applyFont="1" applyFill="1" applyBorder="1"/>
    <xf numFmtId="3" fontId="8" fillId="0" borderId="71" xfId="0" applyNumberFormat="1" applyFont="1" applyFill="1" applyBorder="1" applyAlignment="1">
      <alignment horizontal="right"/>
    </xf>
    <xf numFmtId="0" fontId="1" fillId="11" borderId="0" xfId="0" applyFont="1" applyFill="1" applyBorder="1"/>
    <xf numFmtId="3" fontId="1" fillId="11" borderId="0" xfId="0" applyNumberFormat="1" applyFont="1" applyFill="1" applyBorder="1"/>
    <xf numFmtId="3" fontId="1" fillId="2" borderId="0" xfId="0" applyNumberFormat="1" applyFont="1" applyFill="1" applyBorder="1"/>
    <xf numFmtId="0" fontId="1" fillId="2" borderId="0" xfId="0" applyFont="1" applyFill="1" applyBorder="1"/>
    <xf numFmtId="3" fontId="4" fillId="0" borderId="1" xfId="0" applyNumberFormat="1" applyFont="1" applyFill="1" applyBorder="1" applyAlignment="1">
      <alignment horizontal="right"/>
    </xf>
    <xf numFmtId="0" fontId="3" fillId="10" borderId="11" xfId="0" applyFont="1" applyFill="1" applyBorder="1" applyAlignment="1"/>
    <xf numFmtId="3" fontId="61" fillId="23" borderId="84" xfId="0" applyNumberFormat="1" applyFont="1" applyFill="1" applyBorder="1" applyAlignment="1">
      <alignment horizontal="right"/>
    </xf>
    <xf numFmtId="3" fontId="25" fillId="21" borderId="74" xfId="0" applyNumberFormat="1" applyFont="1" applyFill="1" applyBorder="1" applyAlignment="1">
      <alignment horizontal="right"/>
    </xf>
    <xf numFmtId="3" fontId="25" fillId="21" borderId="64" xfId="0" applyNumberFormat="1" applyFont="1" applyFill="1" applyBorder="1" applyAlignment="1">
      <alignment horizontal="right"/>
    </xf>
    <xf numFmtId="3" fontId="61" fillId="23" borderId="64" xfId="0" applyNumberFormat="1" applyFont="1" applyFill="1" applyBorder="1" applyAlignment="1">
      <alignment horizontal="right"/>
    </xf>
    <xf numFmtId="3" fontId="45" fillId="11" borderId="74" xfId="0" applyNumberFormat="1" applyFont="1" applyFill="1" applyBorder="1" applyAlignment="1">
      <alignment horizontal="right"/>
    </xf>
    <xf numFmtId="3" fontId="29" fillId="27" borderId="85" xfId="0" applyNumberFormat="1" applyFont="1" applyFill="1" applyBorder="1" applyAlignment="1">
      <alignment horizontal="right"/>
    </xf>
    <xf numFmtId="3" fontId="61" fillId="23" borderId="19" xfId="0" applyNumberFormat="1" applyFont="1" applyFill="1" applyBorder="1" applyAlignment="1">
      <alignment horizontal="right"/>
    </xf>
    <xf numFmtId="3" fontId="25" fillId="21" borderId="1" xfId="0" applyNumberFormat="1" applyFont="1" applyFill="1" applyBorder="1" applyAlignment="1">
      <alignment horizontal="right"/>
    </xf>
    <xf numFmtId="3" fontId="25" fillId="21" borderId="3" xfId="0" applyNumberFormat="1" applyFont="1" applyFill="1" applyBorder="1" applyAlignment="1">
      <alignment horizontal="right"/>
    </xf>
    <xf numFmtId="3" fontId="61" fillId="23" borderId="3" xfId="0" applyNumberFormat="1" applyFont="1" applyFill="1" applyBorder="1" applyAlignment="1">
      <alignment horizontal="right"/>
    </xf>
    <xf numFmtId="3" fontId="45" fillId="11" borderId="1" xfId="0" applyNumberFormat="1" applyFont="1" applyFill="1" applyBorder="1" applyAlignment="1">
      <alignment horizontal="right"/>
    </xf>
    <xf numFmtId="3" fontId="29" fillId="27" borderId="43" xfId="0" applyNumberFormat="1" applyFont="1" applyFill="1" applyBorder="1" applyAlignment="1">
      <alignment horizontal="right"/>
    </xf>
    <xf numFmtId="49" fontId="74" fillId="28" borderId="65" xfId="0" applyNumberFormat="1" applyFont="1" applyFill="1" applyBorder="1" applyAlignment="1">
      <alignment horizontal="center" vertical="center" wrapText="1"/>
    </xf>
    <xf numFmtId="49" fontId="74" fillId="28" borderId="58" xfId="0" applyNumberFormat="1" applyFont="1" applyFill="1" applyBorder="1" applyAlignment="1">
      <alignment horizontal="center" vertical="center" wrapText="1"/>
    </xf>
    <xf numFmtId="49" fontId="74" fillId="28" borderId="69" xfId="0" applyNumberFormat="1" applyFont="1" applyFill="1" applyBorder="1" applyAlignment="1">
      <alignment horizontal="center" vertical="center" wrapText="1"/>
    </xf>
    <xf numFmtId="3" fontId="33" fillId="28" borderId="64" xfId="0" applyNumberFormat="1" applyFont="1" applyFill="1" applyBorder="1" applyAlignment="1">
      <alignment horizontal="right"/>
    </xf>
    <xf numFmtId="3" fontId="33" fillId="28" borderId="3" xfId="0" applyNumberFormat="1" applyFont="1" applyFill="1" applyBorder="1" applyAlignment="1">
      <alignment horizontal="right"/>
    </xf>
    <xf numFmtId="3" fontId="33" fillId="28" borderId="74" xfId="0" applyNumberFormat="1" applyFont="1" applyFill="1" applyBorder="1" applyAlignment="1">
      <alignment horizontal="right"/>
    </xf>
    <xf numFmtId="3" fontId="33" fillId="28" borderId="1" xfId="0" applyNumberFormat="1" applyFont="1" applyFill="1" applyBorder="1" applyAlignment="1">
      <alignment horizontal="right"/>
    </xf>
    <xf numFmtId="4" fontId="44" fillId="28" borderId="74" xfId="0" applyNumberFormat="1" applyFont="1" applyFill="1" applyBorder="1" applyAlignment="1">
      <alignment horizontal="right"/>
    </xf>
    <xf numFmtId="4" fontId="44" fillId="28" borderId="1" xfId="0" applyNumberFormat="1" applyFont="1" applyFill="1" applyBorder="1" applyAlignment="1">
      <alignment horizontal="right"/>
    </xf>
    <xf numFmtId="3" fontId="44" fillId="28" borderId="74" xfId="0" applyNumberFormat="1" applyFont="1" applyFill="1" applyBorder="1" applyAlignment="1">
      <alignment horizontal="right"/>
    </xf>
    <xf numFmtId="3" fontId="44" fillId="28" borderId="1" xfId="0" applyNumberFormat="1" applyFont="1" applyFill="1" applyBorder="1" applyAlignment="1">
      <alignment horizontal="right"/>
    </xf>
    <xf numFmtId="4" fontId="25" fillId="28" borderId="77" xfId="0" applyNumberFormat="1" applyFont="1" applyFill="1" applyBorder="1" applyAlignment="1">
      <alignment horizontal="right"/>
    </xf>
    <xf numFmtId="4" fontId="25" fillId="28" borderId="49" xfId="0" applyNumberFormat="1" applyFont="1" applyFill="1" applyBorder="1" applyAlignment="1">
      <alignment horizontal="right"/>
    </xf>
    <xf numFmtId="4" fontId="25" fillId="28" borderId="64" xfId="0" applyNumberFormat="1" applyFont="1" applyFill="1" applyBorder="1" applyAlignment="1">
      <alignment horizontal="right"/>
    </xf>
    <xf numFmtId="4" fontId="25" fillId="28" borderId="3" xfId="0" applyNumberFormat="1" applyFont="1" applyFill="1" applyBorder="1" applyAlignment="1">
      <alignment horizontal="right"/>
    </xf>
    <xf numFmtId="4" fontId="25" fillId="28" borderId="78" xfId="0" applyNumberFormat="1" applyFont="1" applyFill="1" applyBorder="1" applyAlignment="1">
      <alignment horizontal="right"/>
    </xf>
    <xf numFmtId="4" fontId="25" fillId="28" borderId="7" xfId="0" applyNumberFormat="1" applyFont="1" applyFill="1" applyBorder="1" applyAlignment="1">
      <alignment horizontal="right"/>
    </xf>
    <xf numFmtId="49" fontId="74" fillId="33" borderId="65" xfId="0" applyNumberFormat="1" applyFont="1" applyFill="1" applyBorder="1" applyAlignment="1">
      <alignment horizontal="center" vertical="center" wrapText="1"/>
    </xf>
    <xf numFmtId="49" fontId="74" fillId="33" borderId="58" xfId="0" applyNumberFormat="1" applyFont="1" applyFill="1" applyBorder="1" applyAlignment="1">
      <alignment horizontal="center" vertical="center" wrapText="1"/>
    </xf>
    <xf numFmtId="49" fontId="74" fillId="33" borderId="69" xfId="0" applyNumberFormat="1" applyFont="1" applyFill="1" applyBorder="1" applyAlignment="1">
      <alignment horizontal="center" vertical="center" wrapText="1"/>
    </xf>
    <xf numFmtId="3" fontId="69" fillId="33" borderId="64" xfId="0" applyNumberFormat="1" applyFont="1" applyFill="1" applyBorder="1" applyAlignment="1">
      <alignment horizontal="right"/>
    </xf>
    <xf numFmtId="3" fontId="69" fillId="33" borderId="3" xfId="0" applyNumberFormat="1" applyFont="1" applyFill="1" applyBorder="1" applyAlignment="1">
      <alignment horizontal="right"/>
    </xf>
    <xf numFmtId="3" fontId="69" fillId="33" borderId="74" xfId="0" applyNumberFormat="1" applyFont="1" applyFill="1" applyBorder="1" applyAlignment="1">
      <alignment horizontal="right"/>
    </xf>
    <xf numFmtId="3" fontId="44" fillId="33" borderId="74" xfId="0" applyNumberFormat="1" applyFont="1" applyFill="1" applyBorder="1" applyAlignment="1">
      <alignment horizontal="right"/>
    </xf>
    <xf numFmtId="3" fontId="44" fillId="33" borderId="1" xfId="0" applyNumberFormat="1" applyFont="1" applyFill="1" applyBorder="1" applyAlignment="1">
      <alignment horizontal="right"/>
    </xf>
    <xf numFmtId="3" fontId="33" fillId="33" borderId="57" xfId="0" applyNumberFormat="1" applyFont="1" applyFill="1" applyBorder="1" applyAlignment="1">
      <alignment horizontal="right"/>
    </xf>
    <xf numFmtId="3" fontId="33" fillId="33" borderId="11" xfId="0" applyNumberFormat="1" applyFont="1" applyFill="1" applyBorder="1" applyAlignment="1">
      <alignment horizontal="right"/>
    </xf>
    <xf numFmtId="3" fontId="33" fillId="33" borderId="64" xfId="0" applyNumberFormat="1" applyFont="1" applyFill="1" applyBorder="1" applyAlignment="1">
      <alignment horizontal="right"/>
    </xf>
    <xf numFmtId="3" fontId="33" fillId="33" borderId="3" xfId="0" applyNumberFormat="1" applyFont="1" applyFill="1" applyBorder="1" applyAlignment="1">
      <alignment horizontal="right"/>
    </xf>
    <xf numFmtId="4" fontId="2" fillId="33" borderId="83" xfId="0" applyNumberFormat="1" applyFont="1" applyFill="1" applyBorder="1" applyAlignment="1">
      <alignment horizontal="right"/>
    </xf>
    <xf numFmtId="4" fontId="2" fillId="33" borderId="7" xfId="0" applyNumberFormat="1" applyFont="1" applyFill="1" applyBorder="1" applyAlignment="1">
      <alignment horizontal="right"/>
    </xf>
    <xf numFmtId="49" fontId="74" fillId="30" borderId="51" xfId="0" applyNumberFormat="1" applyFont="1" applyFill="1" applyBorder="1" applyAlignment="1">
      <alignment horizontal="center" vertical="center" wrapText="1"/>
    </xf>
    <xf numFmtId="3" fontId="69" fillId="30" borderId="34" xfId="0" applyNumberFormat="1" applyFont="1" applyFill="1" applyBorder="1" applyAlignment="1">
      <alignment horizontal="right"/>
    </xf>
    <xf numFmtId="4" fontId="40" fillId="30" borderId="33" xfId="0" applyNumberFormat="1" applyFont="1" applyFill="1" applyBorder="1" applyAlignment="1">
      <alignment horizontal="right"/>
    </xf>
    <xf numFmtId="3" fontId="40" fillId="30" borderId="33" xfId="0" applyNumberFormat="1" applyFont="1" applyFill="1" applyBorder="1" applyAlignment="1">
      <alignment horizontal="right"/>
    </xf>
    <xf numFmtId="3" fontId="33" fillId="30" borderId="40" xfId="0" applyNumberFormat="1" applyFont="1" applyFill="1" applyBorder="1" applyAlignment="1">
      <alignment horizontal="right" vertical="center"/>
    </xf>
    <xf numFmtId="0" fontId="0" fillId="30" borderId="0" xfId="0" applyFill="1" applyBorder="1"/>
    <xf numFmtId="0" fontId="83" fillId="12" borderId="0" xfId="0" applyFont="1" applyFill="1" applyBorder="1"/>
    <xf numFmtId="164" fontId="34" fillId="25" borderId="30" xfId="0" applyNumberFormat="1" applyFont="1" applyFill="1" applyBorder="1" applyAlignment="1">
      <alignment vertical="center"/>
    </xf>
    <xf numFmtId="0" fontId="21" fillId="11" borderId="2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/>
    </xf>
    <xf numFmtId="0" fontId="1" fillId="10" borderId="88" xfId="0" applyFont="1" applyFill="1" applyBorder="1" applyAlignment="1">
      <alignment horizontal="center"/>
    </xf>
    <xf numFmtId="0" fontId="31" fillId="7" borderId="89" xfId="0" applyFont="1" applyFill="1" applyBorder="1" applyAlignment="1">
      <alignment horizontal="left" vertical="center"/>
    </xf>
    <xf numFmtId="0" fontId="34" fillId="7" borderId="90" xfId="0" applyFont="1" applyFill="1" applyBorder="1" applyAlignment="1"/>
    <xf numFmtId="0" fontId="38" fillId="7" borderId="89" xfId="0" applyFont="1" applyFill="1" applyBorder="1" applyAlignment="1">
      <alignment horizontal="left" vertical="center"/>
    </xf>
    <xf numFmtId="164" fontId="50" fillId="25" borderId="34" xfId="0" applyNumberFormat="1" applyFont="1" applyFill="1" applyBorder="1" applyAlignment="1">
      <alignment horizontal="right" vertical="center"/>
    </xf>
    <xf numFmtId="164" fontId="4" fillId="2" borderId="34" xfId="0" applyNumberFormat="1" applyFont="1" applyFill="1" applyBorder="1" applyAlignment="1">
      <alignment horizontal="right"/>
    </xf>
    <xf numFmtId="164" fontId="3" fillId="2" borderId="34" xfId="0" applyNumberFormat="1" applyFont="1" applyFill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34" xfId="0" applyNumberFormat="1" applyFont="1" applyFill="1" applyBorder="1" applyAlignment="1">
      <alignment horizontal="right"/>
    </xf>
    <xf numFmtId="164" fontId="50" fillId="25" borderId="33" xfId="0" applyNumberFormat="1" applyFont="1" applyFill="1" applyBorder="1" applyAlignment="1">
      <alignment horizontal="right" vertical="center"/>
    </xf>
    <xf numFmtId="164" fontId="3" fillId="2" borderId="33" xfId="0" applyNumberFormat="1" applyFont="1" applyFill="1" applyBorder="1" applyAlignment="1">
      <alignment horizontal="right"/>
    </xf>
    <xf numFmtId="164" fontId="3" fillId="11" borderId="34" xfId="0" applyNumberFormat="1" applyFont="1" applyFill="1" applyBorder="1" applyAlignment="1">
      <alignment horizontal="right"/>
    </xf>
    <xf numFmtId="164" fontId="91" fillId="8" borderId="33" xfId="0" applyNumberFormat="1" applyFont="1" applyFill="1" applyBorder="1" applyAlignment="1">
      <alignment horizontal="right"/>
    </xf>
    <xf numFmtId="164" fontId="3" fillId="0" borderId="33" xfId="0" applyNumberFormat="1" applyFont="1" applyFill="1" applyBorder="1" applyAlignment="1">
      <alignment horizontal="right"/>
    </xf>
    <xf numFmtId="164" fontId="3" fillId="2" borderId="37" xfId="0" applyNumberFormat="1" applyFont="1" applyFill="1" applyBorder="1" applyAlignment="1">
      <alignment horizontal="right"/>
    </xf>
    <xf numFmtId="164" fontId="3" fillId="2" borderId="30" xfId="0" applyNumberFormat="1" applyFont="1" applyFill="1" applyBorder="1" applyAlignment="1">
      <alignment horizontal="right"/>
    </xf>
    <xf numFmtId="164" fontId="3" fillId="8" borderId="34" xfId="0" applyNumberFormat="1" applyFont="1" applyFill="1" applyBorder="1" applyAlignment="1">
      <alignment horizontal="right"/>
    </xf>
    <xf numFmtId="164" fontId="91" fillId="8" borderId="34" xfId="0" applyNumberFormat="1" applyFont="1" applyFill="1" applyBorder="1" applyAlignment="1">
      <alignment horizontal="right"/>
    </xf>
    <xf numFmtId="164" fontId="4" fillId="2" borderId="75" xfId="0" applyNumberFormat="1" applyFont="1" applyFill="1" applyBorder="1" applyAlignment="1">
      <alignment horizontal="right"/>
    </xf>
    <xf numFmtId="164" fontId="4" fillId="2" borderId="76" xfId="0" applyNumberFormat="1" applyFont="1" applyFill="1" applyBorder="1" applyAlignment="1">
      <alignment horizontal="right"/>
    </xf>
    <xf numFmtId="0" fontId="4" fillId="2" borderId="5" xfId="0" applyFont="1" applyFill="1" applyBorder="1"/>
    <xf numFmtId="3" fontId="22" fillId="8" borderId="30" xfId="0" applyNumberFormat="1" applyFont="1" applyFill="1" applyBorder="1" applyAlignment="1">
      <alignment horizontal="right"/>
    </xf>
    <xf numFmtId="164" fontId="92" fillId="25" borderId="59" xfId="0" applyNumberFormat="1" applyFont="1" applyFill="1" applyBorder="1"/>
    <xf numFmtId="164" fontId="92" fillId="25" borderId="33" xfId="0" applyNumberFormat="1" applyFont="1" applyFill="1" applyBorder="1"/>
    <xf numFmtId="164" fontId="92" fillId="25" borderId="40" xfId="0" applyNumberFormat="1" applyFont="1" applyFill="1" applyBorder="1"/>
    <xf numFmtId="164" fontId="91" fillId="8" borderId="30" xfId="0" applyNumberFormat="1" applyFont="1" applyFill="1" applyBorder="1" applyAlignment="1">
      <alignment horizontal="right"/>
    </xf>
    <xf numFmtId="164" fontId="34" fillId="25" borderId="33" xfId="0" applyNumberFormat="1" applyFont="1" applyFill="1" applyBorder="1" applyAlignment="1">
      <alignment horizontal="right" vertical="center"/>
    </xf>
    <xf numFmtId="164" fontId="4" fillId="11" borderId="34" xfId="0" applyNumberFormat="1" applyFont="1" applyFill="1" applyBorder="1" applyAlignment="1">
      <alignment horizontal="right"/>
    </xf>
    <xf numFmtId="164" fontId="3" fillId="2" borderId="29" xfId="0" applyNumberFormat="1" applyFont="1" applyFill="1" applyBorder="1" applyAlignment="1">
      <alignment horizontal="right"/>
    </xf>
    <xf numFmtId="164" fontId="3" fillId="2" borderId="71" xfId="0" applyNumberFormat="1" applyFont="1" applyFill="1" applyBorder="1" applyAlignment="1">
      <alignment horizontal="right"/>
    </xf>
    <xf numFmtId="3" fontId="0" fillId="0" borderId="0" xfId="0" applyNumberForma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56" fillId="6" borderId="7" xfId="0" applyNumberFormat="1" applyFont="1" applyFill="1" applyBorder="1" applyAlignment="1">
      <alignment horizontal="center" vertical="center"/>
    </xf>
    <xf numFmtId="49" fontId="56" fillId="6" borderId="24" xfId="0" applyNumberFormat="1" applyFont="1" applyFill="1" applyBorder="1" applyAlignment="1">
      <alignment horizontal="center" vertical="center"/>
    </xf>
    <xf numFmtId="49" fontId="54" fillId="6" borderId="24" xfId="0" applyNumberFormat="1" applyFont="1" applyFill="1" applyBorder="1" applyAlignment="1">
      <alignment horizontal="center" vertical="center"/>
    </xf>
    <xf numFmtId="0" fontId="57" fillId="6" borderId="8" xfId="0" applyFont="1" applyFill="1" applyBorder="1" applyAlignment="1">
      <alignment vertical="center"/>
    </xf>
    <xf numFmtId="0" fontId="54" fillId="6" borderId="8" xfId="0" applyFont="1" applyFill="1" applyBorder="1" applyAlignment="1">
      <alignment vertical="center"/>
    </xf>
    <xf numFmtId="3" fontId="62" fillId="25" borderId="40" xfId="0" applyNumberFormat="1" applyFont="1" applyFill="1" applyBorder="1" applyAlignment="1">
      <alignment horizontal="right" vertical="center"/>
    </xf>
    <xf numFmtId="164" fontId="50" fillId="25" borderId="40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/>
    </xf>
    <xf numFmtId="164" fontId="18" fillId="0" borderId="16" xfId="0" applyNumberFormat="1" applyFont="1" applyFill="1" applyBorder="1" applyAlignment="1">
      <alignment vertical="center"/>
    </xf>
    <xf numFmtId="164" fontId="13" fillId="0" borderId="56" xfId="0" applyNumberFormat="1" applyFont="1" applyFill="1" applyBorder="1" applyAlignment="1"/>
    <xf numFmtId="164" fontId="13" fillId="0" borderId="3" xfId="0" applyNumberFormat="1" applyFont="1" applyFill="1" applyBorder="1" applyAlignment="1"/>
    <xf numFmtId="164" fontId="13" fillId="0" borderId="1" xfId="0" applyNumberFormat="1" applyFont="1" applyFill="1" applyBorder="1" applyAlignment="1"/>
    <xf numFmtId="164" fontId="13" fillId="0" borderId="38" xfId="0" applyNumberFormat="1" applyFont="1" applyFill="1" applyBorder="1" applyAlignment="1"/>
    <xf numFmtId="164" fontId="18" fillId="0" borderId="58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/>
    <xf numFmtId="3" fontId="4" fillId="0" borderId="49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>
      <alignment horizontal="right"/>
    </xf>
    <xf numFmtId="164" fontId="18" fillId="0" borderId="51" xfId="0" applyNumberFormat="1" applyFont="1" applyFill="1" applyBorder="1" applyAlignment="1">
      <alignment vertical="center"/>
    </xf>
    <xf numFmtId="164" fontId="13" fillId="0" borderId="34" xfId="0" applyNumberFormat="1" applyFont="1" applyFill="1" applyBorder="1" applyAlignment="1"/>
    <xf numFmtId="164" fontId="13" fillId="0" borderId="29" xfId="0" applyNumberFormat="1" applyFont="1" applyFill="1" applyBorder="1"/>
    <xf numFmtId="164" fontId="4" fillId="0" borderId="29" xfId="0" applyNumberFormat="1" applyFont="1" applyFill="1" applyBorder="1"/>
    <xf numFmtId="164" fontId="13" fillId="0" borderId="33" xfId="0" applyNumberFormat="1" applyFont="1" applyFill="1" applyBorder="1" applyAlignment="1"/>
    <xf numFmtId="164" fontId="4" fillId="0" borderId="29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/>
    <xf numFmtId="164" fontId="13" fillId="0" borderId="30" xfId="0" applyNumberFormat="1" applyFont="1" applyFill="1" applyBorder="1" applyAlignment="1"/>
    <xf numFmtId="3" fontId="4" fillId="0" borderId="38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/>
    <xf numFmtId="164" fontId="4" fillId="0" borderId="38" xfId="0" applyNumberFormat="1" applyFont="1" applyFill="1" applyBorder="1" applyAlignment="1">
      <alignment horizontal="right"/>
    </xf>
    <xf numFmtId="164" fontId="18" fillId="0" borderId="48" xfId="0" applyNumberFormat="1" applyFont="1" applyFill="1" applyBorder="1" applyAlignment="1">
      <alignment vertical="center"/>
    </xf>
    <xf numFmtId="164" fontId="4" fillId="0" borderId="30" xfId="0" applyNumberFormat="1" applyFont="1" applyFill="1" applyBorder="1"/>
    <xf numFmtId="164" fontId="13" fillId="0" borderId="19" xfId="0" applyNumberFormat="1" applyFont="1" applyFill="1" applyBorder="1" applyAlignment="1"/>
    <xf numFmtId="164" fontId="13" fillId="0" borderId="3" xfId="0" applyNumberFormat="1" applyFont="1" applyFill="1" applyBorder="1" applyAlignment="1">
      <alignment horizontal="right"/>
    </xf>
    <xf numFmtId="164" fontId="13" fillId="0" borderId="49" xfId="0" applyNumberFormat="1" applyFont="1" applyFill="1" applyBorder="1" applyAlignment="1">
      <alignment horizontal="right"/>
    </xf>
    <xf numFmtId="164" fontId="13" fillId="0" borderId="11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13" fillId="0" borderId="37" xfId="0" applyNumberFormat="1" applyFont="1" applyFill="1" applyBorder="1"/>
    <xf numFmtId="164" fontId="4" fillId="0" borderId="34" xfId="0" applyNumberFormat="1" applyFont="1" applyFill="1" applyBorder="1"/>
    <xf numFmtId="164" fontId="13" fillId="0" borderId="33" xfId="0" applyNumberFormat="1" applyFont="1" applyFill="1" applyBorder="1"/>
    <xf numFmtId="164" fontId="4" fillId="0" borderId="4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/>
    <xf numFmtId="164" fontId="18" fillId="0" borderId="50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164" fontId="13" fillId="0" borderId="34" xfId="0" applyNumberFormat="1" applyFont="1" applyFill="1" applyBorder="1"/>
    <xf numFmtId="164" fontId="4" fillId="0" borderId="34" xfId="0" applyNumberFormat="1" applyFont="1" applyFill="1" applyBorder="1" applyAlignment="1">
      <alignment vertical="center"/>
    </xf>
    <xf numFmtId="0" fontId="95" fillId="0" borderId="0" xfId="0" applyFont="1" applyFill="1" applyBorder="1" applyAlignment="1"/>
    <xf numFmtId="0" fontId="28" fillId="0" borderId="0" xfId="0" applyFont="1" applyFill="1" applyBorder="1"/>
    <xf numFmtId="164" fontId="4" fillId="0" borderId="33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49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/>
    <xf numFmtId="164" fontId="4" fillId="0" borderId="29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164" fontId="4" fillId="0" borderId="71" xfId="0" applyNumberFormat="1" applyFont="1" applyFill="1" applyBorder="1"/>
    <xf numFmtId="164" fontId="4" fillId="0" borderId="70" xfId="0" applyNumberFormat="1" applyFont="1" applyFill="1" applyBorder="1"/>
    <xf numFmtId="3" fontId="74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96" fillId="0" borderId="0" xfId="0" applyFont="1" applyFill="1" applyBorder="1" applyAlignment="1">
      <alignment horizontal="left"/>
    </xf>
    <xf numFmtId="164" fontId="13" fillId="0" borderId="2" xfId="0" applyNumberFormat="1" applyFont="1" applyFill="1" applyBorder="1" applyAlignment="1"/>
    <xf numFmtId="164" fontId="13" fillId="0" borderId="4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/>
    <xf numFmtId="3" fontId="13" fillId="0" borderId="3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/>
    <xf numFmtId="164" fontId="13" fillId="0" borderId="32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164" fontId="13" fillId="0" borderId="13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/>
    <xf numFmtId="0" fontId="96" fillId="0" borderId="0" xfId="0" applyFont="1" applyFill="1" applyBorder="1" applyAlignment="1"/>
    <xf numFmtId="164" fontId="4" fillId="0" borderId="1" xfId="0" applyNumberFormat="1" applyFont="1" applyFill="1" applyBorder="1" applyAlignment="1">
      <alignment vertical="center"/>
    </xf>
    <xf numFmtId="164" fontId="13" fillId="0" borderId="7" xfId="0" applyNumberFormat="1" applyFont="1" applyFill="1" applyBorder="1" applyAlignment="1"/>
    <xf numFmtId="164" fontId="13" fillId="0" borderId="40" xfId="0" applyNumberFormat="1" applyFont="1" applyFill="1" applyBorder="1" applyAlignment="1"/>
    <xf numFmtId="3" fontId="69" fillId="33" borderId="1" xfId="0" applyNumberFormat="1" applyFont="1" applyFill="1" applyBorder="1" applyAlignment="1">
      <alignment horizontal="right"/>
    </xf>
    <xf numFmtId="164" fontId="2" fillId="28" borderId="79" xfId="0" applyNumberFormat="1" applyFont="1" applyFill="1" applyBorder="1" applyAlignment="1">
      <alignment horizontal="right"/>
    </xf>
    <xf numFmtId="4" fontId="2" fillId="28" borderId="81" xfId="0" applyNumberFormat="1" applyFont="1" applyFill="1" applyBorder="1" applyAlignment="1">
      <alignment horizontal="right"/>
    </xf>
    <xf numFmtId="4" fontId="2" fillId="28" borderId="79" xfId="0" applyNumberFormat="1" applyFont="1" applyFill="1" applyBorder="1" applyAlignment="1">
      <alignment horizontal="right"/>
    </xf>
    <xf numFmtId="4" fontId="2" fillId="28" borderId="82" xfId="0" applyNumberFormat="1" applyFont="1" applyFill="1" applyBorder="1" applyAlignment="1">
      <alignment horizontal="right"/>
    </xf>
    <xf numFmtId="164" fontId="2" fillId="28" borderId="75" xfId="0" applyNumberFormat="1" applyFont="1" applyFill="1" applyBorder="1" applyAlignment="1">
      <alignment horizontal="right"/>
    </xf>
    <xf numFmtId="164" fontId="4" fillId="28" borderId="75" xfId="0" applyNumberFormat="1" applyFont="1" applyFill="1" applyBorder="1" applyAlignment="1">
      <alignment horizontal="right"/>
    </xf>
    <xf numFmtId="164" fontId="2" fillId="33" borderId="82" xfId="0" applyNumberFormat="1" applyFont="1" applyFill="1" applyBorder="1" applyAlignment="1">
      <alignment horizontal="right"/>
    </xf>
    <xf numFmtId="164" fontId="13" fillId="33" borderId="79" xfId="0" applyNumberFormat="1" applyFont="1" applyFill="1" applyBorder="1" applyAlignment="1">
      <alignment horizontal="right"/>
    </xf>
    <xf numFmtId="164" fontId="4" fillId="33" borderId="75" xfId="0" applyNumberFormat="1" applyFont="1" applyFill="1" applyBorder="1" applyAlignment="1">
      <alignment horizontal="right"/>
    </xf>
    <xf numFmtId="164" fontId="2" fillId="33" borderId="80" xfId="0" applyNumberFormat="1" applyFont="1" applyFill="1" applyBorder="1" applyAlignment="1">
      <alignment horizontal="right"/>
    </xf>
    <xf numFmtId="164" fontId="2" fillId="33" borderId="79" xfId="0" applyNumberFormat="1" applyFont="1" applyFill="1" applyBorder="1" applyAlignment="1">
      <alignment horizontal="right"/>
    </xf>
    <xf numFmtId="4" fontId="13" fillId="30" borderId="33" xfId="0" applyNumberFormat="1" applyFont="1" applyFill="1" applyBorder="1" applyAlignment="1">
      <alignment horizontal="right"/>
    </xf>
    <xf numFmtId="4" fontId="13" fillId="30" borderId="34" xfId="0" applyNumberFormat="1" applyFont="1" applyFill="1" applyBorder="1" applyAlignment="1">
      <alignment horizontal="right"/>
    </xf>
    <xf numFmtId="4" fontId="13" fillId="30" borderId="40" xfId="0" applyNumberFormat="1" applyFont="1" applyFill="1" applyBorder="1" applyAlignment="1">
      <alignment horizontal="right" vertical="center"/>
    </xf>
    <xf numFmtId="164" fontId="61" fillId="23" borderId="86" xfId="0" applyNumberFormat="1" applyFont="1" applyFill="1" applyBorder="1" applyAlignment="1">
      <alignment horizontal="right"/>
    </xf>
    <xf numFmtId="164" fontId="25" fillId="21" borderId="75" xfId="0" applyNumberFormat="1" applyFont="1" applyFill="1" applyBorder="1" applyAlignment="1">
      <alignment horizontal="right"/>
    </xf>
    <xf numFmtId="164" fontId="25" fillId="21" borderId="79" xfId="0" applyNumberFormat="1" applyFont="1" applyFill="1" applyBorder="1" applyAlignment="1">
      <alignment horizontal="right"/>
    </xf>
    <xf numFmtId="164" fontId="61" fillId="23" borderId="79" xfId="0" applyNumberFormat="1" applyFont="1" applyFill="1" applyBorder="1" applyAlignment="1">
      <alignment horizontal="right"/>
    </xf>
    <xf numFmtId="164" fontId="45" fillId="11" borderId="75" xfId="0" applyNumberFormat="1" applyFont="1" applyFill="1" applyBorder="1" applyAlignment="1">
      <alignment horizontal="right"/>
    </xf>
    <xf numFmtId="164" fontId="29" fillId="27" borderId="87" xfId="0" applyNumberFormat="1" applyFont="1" applyFill="1" applyBorder="1" applyAlignment="1">
      <alignment horizontal="right"/>
    </xf>
    <xf numFmtId="164" fontId="13" fillId="0" borderId="38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164" fontId="13" fillId="0" borderId="52" xfId="0" applyNumberFormat="1" applyFont="1" applyFill="1" applyBorder="1" applyAlignment="1"/>
    <xf numFmtId="49" fontId="4" fillId="11" borderId="3" xfId="0" applyNumberFormat="1" applyFont="1" applyFill="1" applyBorder="1" applyAlignment="1">
      <alignment horizontal="center" vertical="center"/>
    </xf>
    <xf numFmtId="3" fontId="21" fillId="22" borderId="1" xfId="0" applyNumberFormat="1" applyFont="1" applyFill="1" applyBorder="1" applyAlignment="1">
      <alignment horizontal="right" vertical="center"/>
    </xf>
    <xf numFmtId="164" fontId="13" fillId="0" borderId="30" xfId="0" applyNumberFormat="1" applyFont="1" applyFill="1" applyBorder="1"/>
    <xf numFmtId="0" fontId="94" fillId="0" borderId="0" xfId="0" applyFont="1" applyFill="1" applyBorder="1"/>
    <xf numFmtId="0" fontId="97" fillId="0" borderId="0" xfId="0" applyFont="1" applyFill="1" applyBorder="1" applyAlignment="1"/>
    <xf numFmtId="3" fontId="98" fillId="0" borderId="14" xfId="0" applyNumberFormat="1" applyFont="1" applyFill="1" applyBorder="1" applyAlignment="1">
      <alignment vertical="center"/>
    </xf>
    <xf numFmtId="3" fontId="93" fillId="0" borderId="52" xfId="0" applyNumberFormat="1" applyFont="1" applyFill="1" applyBorder="1" applyAlignment="1"/>
    <xf numFmtId="3" fontId="93" fillId="0" borderId="12" xfId="0" applyNumberFormat="1" applyFont="1" applyFill="1" applyBorder="1" applyAlignment="1"/>
    <xf numFmtId="3" fontId="93" fillId="0" borderId="32" xfId="0" applyNumberFormat="1" applyFont="1" applyFill="1" applyBorder="1" applyAlignment="1">
      <alignment horizontal="right"/>
    </xf>
    <xf numFmtId="3" fontId="99" fillId="0" borderId="12" xfId="0" applyNumberFormat="1" applyFont="1" applyFill="1" applyBorder="1" applyAlignment="1">
      <alignment horizontal="right"/>
    </xf>
    <xf numFmtId="3" fontId="93" fillId="0" borderId="12" xfId="0" applyNumberFormat="1" applyFont="1" applyFill="1" applyBorder="1" applyAlignment="1">
      <alignment horizontal="right"/>
    </xf>
    <xf numFmtId="3" fontId="99" fillId="0" borderId="31" xfId="0" applyNumberFormat="1" applyFont="1" applyFill="1" applyBorder="1" applyAlignment="1">
      <alignment horizontal="right"/>
    </xf>
    <xf numFmtId="3" fontId="99" fillId="0" borderId="10" xfId="0" applyNumberFormat="1" applyFont="1" applyFill="1" applyBorder="1" applyAlignment="1">
      <alignment horizontal="right"/>
    </xf>
    <xf numFmtId="3" fontId="99" fillId="0" borderId="10" xfId="0" applyNumberFormat="1" applyFont="1" applyFill="1" applyBorder="1" applyAlignment="1">
      <alignment horizontal="right" vertical="center"/>
    </xf>
    <xf numFmtId="3" fontId="99" fillId="0" borderId="32" xfId="0" applyNumberFormat="1" applyFont="1" applyFill="1" applyBorder="1" applyAlignment="1">
      <alignment horizontal="right"/>
    </xf>
    <xf numFmtId="3" fontId="99" fillId="0" borderId="38" xfId="0" applyNumberFormat="1" applyFont="1" applyFill="1" applyBorder="1" applyAlignment="1">
      <alignment horizontal="right"/>
    </xf>
    <xf numFmtId="3" fontId="93" fillId="0" borderId="10" xfId="0" applyNumberFormat="1" applyFont="1" applyFill="1" applyBorder="1" applyAlignment="1"/>
    <xf numFmtId="164" fontId="13" fillId="0" borderId="70" xfId="0" applyNumberFormat="1" applyFont="1" applyFill="1" applyBorder="1"/>
    <xf numFmtId="3" fontId="40" fillId="4" borderId="12" xfId="0" applyNumberFormat="1" applyFont="1" applyFill="1" applyBorder="1" applyAlignment="1">
      <alignment horizontal="right"/>
    </xf>
    <xf numFmtId="3" fontId="40" fillId="4" borderId="33" xfId="0" applyNumberFormat="1" applyFont="1" applyFill="1" applyBorder="1"/>
    <xf numFmtId="164" fontId="3" fillId="2" borderId="34" xfId="0" applyNumberFormat="1" applyFont="1" applyFill="1" applyBorder="1"/>
    <xf numFmtId="164" fontId="4" fillId="11" borderId="33" xfId="0" applyNumberFormat="1" applyFont="1" applyFill="1" applyBorder="1"/>
    <xf numFmtId="164" fontId="3" fillId="0" borderId="34" xfId="0" applyNumberFormat="1" applyFont="1" applyFill="1" applyBorder="1"/>
    <xf numFmtId="49" fontId="82" fillId="11" borderId="8" xfId="0" applyNumberFormat="1" applyFont="1" applyFill="1" applyBorder="1" applyAlignment="1">
      <alignment horizontal="center" vertical="center" wrapText="1"/>
    </xf>
    <xf numFmtId="0" fontId="32" fillId="25" borderId="62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48" xfId="0" applyFont="1" applyFill="1" applyBorder="1" applyAlignment="1">
      <alignment horizontal="center" vertical="center" wrapText="1"/>
    </xf>
    <xf numFmtId="49" fontId="48" fillId="5" borderId="49" xfId="0" applyNumberFormat="1" applyFont="1" applyFill="1" applyBorder="1" applyAlignment="1">
      <alignment horizontal="center" vertical="center" wrapText="1"/>
    </xf>
    <xf numFmtId="49" fontId="48" fillId="5" borderId="16" xfId="0" applyNumberFormat="1" applyFont="1" applyFill="1" applyBorder="1" applyAlignment="1">
      <alignment horizontal="center" vertical="center" wrapText="1"/>
    </xf>
    <xf numFmtId="49" fontId="65" fillId="5" borderId="63" xfId="0" applyNumberFormat="1" applyFont="1" applyFill="1" applyBorder="1" applyAlignment="1">
      <alignment horizontal="left" vertical="center"/>
    </xf>
    <xf numFmtId="49" fontId="66" fillId="5" borderId="25" xfId="0" applyNumberFormat="1" applyFont="1" applyFill="1" applyBorder="1" applyAlignment="1">
      <alignment vertical="center"/>
    </xf>
    <xf numFmtId="49" fontId="66" fillId="5" borderId="64" xfId="0" applyNumberFormat="1" applyFont="1" applyFill="1" applyBorder="1" applyAlignment="1">
      <alignment vertical="center"/>
    </xf>
    <xf numFmtId="49" fontId="66" fillId="5" borderId="6" xfId="0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34" fillId="25" borderId="62" xfId="0" applyFont="1" applyFill="1" applyBorder="1" applyAlignment="1">
      <alignment horizontal="center" vertical="center" wrapText="1"/>
    </xf>
    <xf numFmtId="0" fontId="34" fillId="25" borderId="37" xfId="0" applyFont="1" applyFill="1" applyBorder="1" applyAlignment="1">
      <alignment horizontal="center" vertical="center" wrapText="1"/>
    </xf>
    <xf numFmtId="0" fontId="34" fillId="25" borderId="48" xfId="0" applyFont="1" applyFill="1" applyBorder="1" applyAlignment="1">
      <alignment horizontal="center" vertical="center" wrapText="1"/>
    </xf>
    <xf numFmtId="49" fontId="65" fillId="5" borderId="25" xfId="0" applyNumberFormat="1" applyFont="1" applyFill="1" applyBorder="1" applyAlignment="1">
      <alignment horizontal="left" vertical="center"/>
    </xf>
    <xf numFmtId="49" fontId="65" fillId="5" borderId="64" xfId="0" applyNumberFormat="1" applyFont="1" applyFill="1" applyBorder="1" applyAlignment="1">
      <alignment horizontal="left" vertical="center"/>
    </xf>
    <xf numFmtId="49" fontId="65" fillId="5" borderId="6" xfId="0" applyNumberFormat="1" applyFont="1" applyFill="1" applyBorder="1" applyAlignment="1">
      <alignment horizontal="left" vertical="center"/>
    </xf>
    <xf numFmtId="49" fontId="48" fillId="5" borderId="11" xfId="0" applyNumberFormat="1" applyFont="1" applyFill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 vertical="center" textRotation="180" wrapText="1"/>
    </xf>
    <xf numFmtId="0" fontId="3" fillId="10" borderId="16" xfId="0" applyFont="1" applyFill="1" applyBorder="1" applyAlignment="1">
      <alignment horizontal="center" vertical="center" textRotation="180" wrapText="1"/>
    </xf>
    <xf numFmtId="49" fontId="32" fillId="19" borderId="62" xfId="0" applyNumberFormat="1" applyFont="1" applyFill="1" applyBorder="1" applyAlignment="1">
      <alignment horizontal="center" vertical="center" wrapText="1"/>
    </xf>
    <xf numFmtId="0" fontId="73" fillId="19" borderId="37" xfId="0" applyFont="1" applyFill="1" applyBorder="1" applyAlignment="1">
      <alignment horizontal="center" wrapText="1"/>
    </xf>
    <xf numFmtId="0" fontId="73" fillId="19" borderId="48" xfId="0" applyFont="1" applyFill="1" applyBorder="1" applyAlignment="1">
      <alignment horizontal="center" wrapText="1"/>
    </xf>
    <xf numFmtId="49" fontId="93" fillId="0" borderId="62" xfId="0" applyNumberFormat="1" applyFont="1" applyFill="1" applyBorder="1" applyAlignment="1">
      <alignment horizontal="center" vertical="center" wrapText="1"/>
    </xf>
    <xf numFmtId="0" fontId="94" fillId="0" borderId="37" xfId="0" applyFont="1" applyFill="1" applyBorder="1" applyAlignment="1">
      <alignment horizontal="center" wrapText="1"/>
    </xf>
    <xf numFmtId="0" fontId="94" fillId="0" borderId="48" xfId="0" applyFont="1" applyFill="1" applyBorder="1" applyAlignment="1">
      <alignment horizontal="center" wrapText="1"/>
    </xf>
    <xf numFmtId="49" fontId="72" fillId="9" borderId="65" xfId="0" applyNumberFormat="1" applyFont="1" applyFill="1" applyBorder="1" applyAlignment="1">
      <alignment horizontal="center"/>
    </xf>
    <xf numFmtId="49" fontId="72" fillId="9" borderId="66" xfId="0" applyNumberFormat="1" applyFont="1" applyFill="1" applyBorder="1" applyAlignment="1">
      <alignment horizontal="center"/>
    </xf>
    <xf numFmtId="49" fontId="72" fillId="9" borderId="67" xfId="0" applyNumberFormat="1" applyFont="1" applyFill="1" applyBorder="1" applyAlignment="1">
      <alignment horizontal="center"/>
    </xf>
    <xf numFmtId="49" fontId="88" fillId="11" borderId="0" xfId="0" applyNumberFormat="1" applyFont="1" applyFill="1" applyBorder="1" applyAlignment="1">
      <alignment horizontal="left" vertical="center" wrapText="1"/>
    </xf>
    <xf numFmtId="0" fontId="53" fillId="20" borderId="11" xfId="0" applyFont="1" applyFill="1" applyBorder="1" applyAlignment="1">
      <alignment horizontal="center" vertical="center" wrapText="1"/>
    </xf>
    <xf numFmtId="0" fontId="53" fillId="20" borderId="16" xfId="0" applyFont="1" applyFill="1" applyBorder="1" applyAlignment="1">
      <alignment horizontal="center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16" xfId="0" applyFont="1" applyFill="1" applyBorder="1" applyAlignment="1">
      <alignment horizontal="center" vertical="center" wrapText="1"/>
    </xf>
    <xf numFmtId="0" fontId="3" fillId="10" borderId="56" xfId="0" applyFont="1" applyFill="1" applyBorder="1" applyAlignment="1">
      <alignment horizontal="center" vertical="center" textRotation="180" wrapText="1"/>
    </xf>
    <xf numFmtId="0" fontId="35" fillId="0" borderId="8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3" fontId="33" fillId="30" borderId="29" xfId="0" applyNumberFormat="1" applyFont="1" applyFill="1" applyBorder="1" applyAlignment="1">
      <alignment horizontal="right" vertical="center"/>
    </xf>
    <xf numFmtId="3" fontId="33" fillId="30" borderId="34" xfId="0" applyNumberFormat="1" applyFont="1" applyFill="1" applyBorder="1" applyAlignment="1">
      <alignment horizontal="right" vertical="center"/>
    </xf>
    <xf numFmtId="4" fontId="13" fillId="30" borderId="29" xfId="0" applyNumberFormat="1" applyFont="1" applyFill="1" applyBorder="1" applyAlignment="1">
      <alignment horizontal="right" vertical="center"/>
    </xf>
    <xf numFmtId="4" fontId="13" fillId="30" borderId="34" xfId="0" applyNumberFormat="1" applyFont="1" applyFill="1" applyBorder="1" applyAlignment="1">
      <alignment horizontal="right" vertical="center"/>
    </xf>
    <xf numFmtId="4" fontId="33" fillId="30" borderId="29" xfId="0" applyNumberFormat="1" applyFont="1" applyFill="1" applyBorder="1" applyAlignment="1">
      <alignment horizontal="center" vertical="center"/>
    </xf>
    <xf numFmtId="4" fontId="33" fillId="30" borderId="34" xfId="0" applyNumberFormat="1" applyFont="1" applyFill="1" applyBorder="1" applyAlignment="1">
      <alignment horizontal="center" vertical="center"/>
    </xf>
    <xf numFmtId="4" fontId="13" fillId="30" borderId="29" xfId="0" applyNumberFormat="1" applyFont="1" applyFill="1" applyBorder="1" applyAlignment="1">
      <alignment horizontal="center" vertical="center"/>
    </xf>
    <xf numFmtId="4" fontId="13" fillId="30" borderId="34" xfId="0" applyNumberFormat="1" applyFont="1" applyFill="1" applyBorder="1" applyAlignment="1">
      <alignment horizontal="center" vertical="center"/>
    </xf>
    <xf numFmtId="0" fontId="89" fillId="24" borderId="65" xfId="0" applyFont="1" applyFill="1" applyBorder="1" applyAlignment="1">
      <alignment horizontal="center"/>
    </xf>
    <xf numFmtId="0" fontId="89" fillId="24" borderId="66" xfId="0" applyFont="1" applyFill="1" applyBorder="1" applyAlignment="1">
      <alignment horizontal="center"/>
    </xf>
    <xf numFmtId="0" fontId="89" fillId="24" borderId="69" xfId="0" applyFont="1" applyFill="1" applyBorder="1" applyAlignment="1">
      <alignment horizontal="center"/>
    </xf>
    <xf numFmtId="0" fontId="12" fillId="22" borderId="68" xfId="0" applyFont="1" applyFill="1" applyBorder="1" applyAlignment="1">
      <alignment vertical="center"/>
    </xf>
    <xf numFmtId="0" fontId="41" fillId="22" borderId="28" xfId="0" applyFont="1" applyFill="1" applyBorder="1" applyAlignment="1">
      <alignment vertical="center"/>
    </xf>
    <xf numFmtId="0" fontId="0" fillId="27" borderId="65" xfId="0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0" fontId="77" fillId="11" borderId="0" xfId="0" applyFont="1" applyFill="1" applyAlignment="1">
      <alignment horizontal="center" wrapText="1"/>
    </xf>
    <xf numFmtId="3" fontId="33" fillId="33" borderId="77" xfId="0" applyNumberFormat="1" applyFont="1" applyFill="1" applyBorder="1" applyAlignment="1">
      <alignment horizontal="right" vertical="center"/>
    </xf>
    <xf numFmtId="0" fontId="41" fillId="33" borderId="64" xfId="0" applyFont="1" applyFill="1" applyBorder="1" applyAlignment="1">
      <alignment horizontal="right" vertical="center"/>
    </xf>
    <xf numFmtId="0" fontId="12" fillId="22" borderId="68" xfId="0" applyFont="1" applyFill="1" applyBorder="1" applyAlignment="1">
      <alignment horizontal="left" vertical="center"/>
    </xf>
    <xf numFmtId="0" fontId="41" fillId="22" borderId="28" xfId="0" applyFont="1" applyFill="1" applyBorder="1" applyAlignment="1">
      <alignment horizontal="left" vertical="center"/>
    </xf>
    <xf numFmtId="0" fontId="90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3" fontId="33" fillId="28" borderId="77" xfId="0" applyNumberFormat="1" applyFont="1" applyFill="1" applyBorder="1" applyAlignment="1">
      <alignment horizontal="right" vertical="center"/>
    </xf>
    <xf numFmtId="0" fontId="41" fillId="28" borderId="64" xfId="0" applyFont="1" applyFill="1" applyBorder="1" applyAlignment="1">
      <alignment horizontal="right" vertical="center"/>
    </xf>
    <xf numFmtId="3" fontId="33" fillId="28" borderId="49" xfId="0" applyNumberFormat="1" applyFont="1" applyFill="1" applyBorder="1" applyAlignment="1">
      <alignment horizontal="right" vertical="center"/>
    </xf>
    <xf numFmtId="0" fontId="41" fillId="28" borderId="3" xfId="0" applyFont="1" applyFill="1" applyBorder="1" applyAlignment="1">
      <alignment horizontal="right" vertical="center"/>
    </xf>
    <xf numFmtId="3" fontId="33" fillId="33" borderId="49" xfId="0" applyNumberFormat="1" applyFont="1" applyFill="1" applyBorder="1" applyAlignment="1">
      <alignment horizontal="right" vertical="center"/>
    </xf>
    <xf numFmtId="0" fontId="41" fillId="33" borderId="3" xfId="0" applyFont="1" applyFill="1" applyBorder="1" applyAlignment="1">
      <alignment horizontal="right" vertical="center"/>
    </xf>
    <xf numFmtId="164" fontId="2" fillId="28" borderId="81" xfId="0" applyNumberFormat="1" applyFont="1" applyFill="1" applyBorder="1" applyAlignment="1">
      <alignment horizontal="right" vertical="center"/>
    </xf>
    <xf numFmtId="164" fontId="2" fillId="28" borderId="79" xfId="0" applyNumberFormat="1" applyFont="1" applyFill="1" applyBorder="1" applyAlignment="1">
      <alignment horizontal="right" vertical="center"/>
    </xf>
    <xf numFmtId="164" fontId="2" fillId="33" borderId="81" xfId="0" applyNumberFormat="1" applyFont="1" applyFill="1" applyBorder="1" applyAlignment="1">
      <alignment horizontal="right" vertical="center"/>
    </xf>
    <xf numFmtId="164" fontId="2" fillId="33" borderId="79" xfId="0" applyNumberFormat="1" applyFont="1" applyFill="1" applyBorder="1" applyAlignment="1">
      <alignment horizontal="right" vertical="center"/>
    </xf>
    <xf numFmtId="164" fontId="98" fillId="0" borderId="14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horizontal="right"/>
    </xf>
    <xf numFmtId="49" fontId="5" fillId="2" borderId="38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6">
    <cellStyle name="Excel Built-in Normal" xfId="1"/>
    <cellStyle name="Normálne" xfId="0" builtinId="0"/>
    <cellStyle name="normálne 2" xfId="2"/>
    <cellStyle name="normálne 2 2" xfId="3"/>
    <cellStyle name="normálne 4" xfId="4"/>
    <cellStyle name="normálne 9" xfId="5"/>
  </cellStyles>
  <dxfs count="0"/>
  <tableStyles count="0" defaultTableStyle="TableStyleMedium9" defaultPivotStyle="PivotStyleLight16"/>
  <colors>
    <mruColors>
      <color rgb="FFFF99FF"/>
      <color rgb="FFFF99CC"/>
      <color rgb="FF99FFCC"/>
      <color rgb="FF99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FFFF00"/>
  </sheetPr>
  <dimension ref="A2:J324"/>
  <sheetViews>
    <sheetView tabSelected="1" zoomScaleNormal="100" zoomScaleSheetLayoutView="100" workbookViewId="0"/>
  </sheetViews>
  <sheetFormatPr defaultRowHeight="12.75" x14ac:dyDescent="0.2"/>
  <cols>
    <col min="1" max="1" width="1.42578125" style="17" customWidth="1"/>
    <col min="2" max="2" width="3.28515625" style="15" customWidth="1"/>
    <col min="3" max="3" width="3.5703125" style="16" customWidth="1"/>
    <col min="4" max="4" width="4" style="16" customWidth="1"/>
    <col min="5" max="5" width="4.140625" style="16" customWidth="1"/>
    <col min="6" max="6" width="4.5703125" style="15" customWidth="1"/>
    <col min="7" max="7" width="48.85546875" style="15" customWidth="1"/>
    <col min="8" max="8" width="14.85546875" customWidth="1"/>
    <col min="9" max="9" width="13.28515625" customWidth="1"/>
    <col min="10" max="10" width="7.140625" style="861" customWidth="1"/>
  </cols>
  <sheetData>
    <row r="2" spans="1:10" ht="64.5" customHeight="1" thickBot="1" x14ac:dyDescent="0.25">
      <c r="B2" s="1100" t="s">
        <v>885</v>
      </c>
      <c r="C2" s="1100"/>
      <c r="D2" s="1100"/>
      <c r="E2" s="1100"/>
      <c r="F2" s="1100"/>
      <c r="G2" s="1100"/>
      <c r="H2" s="1100"/>
      <c r="I2" s="1100"/>
      <c r="J2" s="1100"/>
    </row>
    <row r="3" spans="1:10" ht="15.75" customHeight="1" x14ac:dyDescent="0.2">
      <c r="B3" s="1106" t="s">
        <v>9</v>
      </c>
      <c r="C3" s="1107"/>
      <c r="D3" s="1107"/>
      <c r="E3" s="1107"/>
      <c r="F3" s="1107"/>
      <c r="G3" s="1107"/>
      <c r="H3" s="1101" t="s">
        <v>716</v>
      </c>
      <c r="I3" s="1101" t="s">
        <v>886</v>
      </c>
      <c r="J3" s="1112" t="s">
        <v>887</v>
      </c>
    </row>
    <row r="4" spans="1:10" ht="10.5" customHeight="1" x14ac:dyDescent="0.2">
      <c r="B4" s="1108"/>
      <c r="C4" s="1109"/>
      <c r="D4" s="1109"/>
      <c r="E4" s="1109"/>
      <c r="F4" s="1109"/>
      <c r="G4" s="1109"/>
      <c r="H4" s="1102"/>
      <c r="I4" s="1102"/>
      <c r="J4" s="1113"/>
    </row>
    <row r="5" spans="1:10" ht="15.75" customHeight="1" x14ac:dyDescent="0.2">
      <c r="A5" s="239"/>
      <c r="B5" s="77"/>
      <c r="C5" s="1104" t="s">
        <v>10</v>
      </c>
      <c r="D5" s="78" t="s">
        <v>11</v>
      </c>
      <c r="E5" s="78" t="s">
        <v>12</v>
      </c>
      <c r="F5" s="79"/>
      <c r="G5" s="79"/>
      <c r="H5" s="1102"/>
      <c r="I5" s="1102"/>
      <c r="J5" s="1113"/>
    </row>
    <row r="6" spans="1:10" ht="13.5" customHeight="1" thickBot="1" x14ac:dyDescent="0.25">
      <c r="A6" s="239"/>
      <c r="B6" s="81"/>
      <c r="C6" s="1105"/>
      <c r="D6" s="83"/>
      <c r="E6" s="82" t="s">
        <v>13</v>
      </c>
      <c r="F6" s="84" t="s">
        <v>14</v>
      </c>
      <c r="G6" s="311"/>
      <c r="H6" s="1103"/>
      <c r="I6" s="1103"/>
      <c r="J6" s="1114"/>
    </row>
    <row r="7" spans="1:10" ht="19.5" customHeight="1" thickTop="1" x14ac:dyDescent="0.2">
      <c r="B7" s="32">
        <v>1</v>
      </c>
      <c r="C7" s="101" t="s">
        <v>15</v>
      </c>
      <c r="D7" s="102"/>
      <c r="E7" s="103"/>
      <c r="F7" s="108" t="s">
        <v>16</v>
      </c>
      <c r="G7" s="326"/>
      <c r="H7" s="594">
        <f>H9+H12+H18</f>
        <v>22438100</v>
      </c>
      <c r="I7" s="594">
        <f t="shared" ref="I7" si="0">I9+I12+I18</f>
        <v>23571978</v>
      </c>
      <c r="J7" s="929">
        <f>I7/H7*100</f>
        <v>105.05336013298809</v>
      </c>
    </row>
    <row r="8" spans="1:10" ht="13.5" customHeight="1" x14ac:dyDescent="0.2">
      <c r="A8" s="239"/>
      <c r="B8" s="33">
        <f>B7+1</f>
        <v>2</v>
      </c>
      <c r="C8" s="3"/>
      <c r="D8" s="34"/>
      <c r="E8" s="7"/>
      <c r="F8" s="35"/>
      <c r="G8" s="35"/>
      <c r="H8" s="595"/>
      <c r="I8" s="595"/>
      <c r="J8" s="854"/>
    </row>
    <row r="9" spans="1:10" ht="13.5" customHeight="1" x14ac:dyDescent="0.2">
      <c r="B9" s="33">
        <f t="shared" ref="B9:B79" si="1">B8+1</f>
        <v>3</v>
      </c>
      <c r="C9" s="8" t="s">
        <v>17</v>
      </c>
      <c r="D9" s="36"/>
      <c r="E9" s="37"/>
      <c r="F9" s="38" t="s">
        <v>18</v>
      </c>
      <c r="G9" s="39"/>
      <c r="H9" s="522">
        <f>H10</f>
        <v>14432100</v>
      </c>
      <c r="I9" s="522">
        <f t="shared" ref="I9" si="2">I10</f>
        <v>15333629</v>
      </c>
      <c r="J9" s="930">
        <f t="shared" ref="J9:J57" si="3">I9/H9*100</f>
        <v>106.24669313544113</v>
      </c>
    </row>
    <row r="10" spans="1:10" ht="12.75" customHeight="1" x14ac:dyDescent="0.2">
      <c r="B10" s="33">
        <f t="shared" si="1"/>
        <v>4</v>
      </c>
      <c r="C10" s="8"/>
      <c r="D10" s="36" t="s">
        <v>19</v>
      </c>
      <c r="E10" s="37" t="s">
        <v>20</v>
      </c>
      <c r="F10" s="31" t="s">
        <v>21</v>
      </c>
      <c r="G10" s="39"/>
      <c r="H10" s="519">
        <f>14200000+232100</f>
        <v>14432100</v>
      </c>
      <c r="I10" s="519">
        <v>15333629</v>
      </c>
      <c r="J10" s="931">
        <f t="shared" si="3"/>
        <v>106.24669313544113</v>
      </c>
    </row>
    <row r="11" spans="1:10" x14ac:dyDescent="0.2">
      <c r="B11" s="33">
        <f t="shared" si="1"/>
        <v>5</v>
      </c>
      <c r="C11" s="9"/>
      <c r="D11" s="40"/>
      <c r="E11" s="41"/>
      <c r="F11" s="42"/>
      <c r="G11" s="43"/>
      <c r="H11" s="596"/>
      <c r="I11" s="596"/>
      <c r="J11" s="932"/>
    </row>
    <row r="12" spans="1:10" x14ac:dyDescent="0.2">
      <c r="B12" s="33">
        <f t="shared" si="1"/>
        <v>6</v>
      </c>
      <c r="C12" s="8" t="s">
        <v>22</v>
      </c>
      <c r="D12" s="40"/>
      <c r="E12" s="44"/>
      <c r="F12" s="38" t="s">
        <v>23</v>
      </c>
      <c r="G12" s="43"/>
      <c r="H12" s="582">
        <f>H13</f>
        <v>5450000</v>
      </c>
      <c r="I12" s="582">
        <f t="shared" ref="I12" si="4">I13</f>
        <v>5781010</v>
      </c>
      <c r="J12" s="933">
        <f t="shared" si="3"/>
        <v>106.07357798165138</v>
      </c>
    </row>
    <row r="13" spans="1:10" x14ac:dyDescent="0.2">
      <c r="B13" s="33">
        <f t="shared" si="1"/>
        <v>7</v>
      </c>
      <c r="C13" s="9"/>
      <c r="D13" s="40" t="s">
        <v>24</v>
      </c>
      <c r="E13" s="44"/>
      <c r="F13" s="31" t="s">
        <v>25</v>
      </c>
      <c r="G13" s="43"/>
      <c r="H13" s="597">
        <f>SUM(H14:H16)</f>
        <v>5450000</v>
      </c>
      <c r="I13" s="597">
        <v>5781010</v>
      </c>
      <c r="J13" s="934">
        <f t="shared" si="3"/>
        <v>106.07357798165138</v>
      </c>
    </row>
    <row r="14" spans="1:10" x14ac:dyDescent="0.2">
      <c r="B14" s="33">
        <f t="shared" si="1"/>
        <v>8</v>
      </c>
      <c r="C14" s="9"/>
      <c r="D14" s="40"/>
      <c r="E14" s="44" t="s">
        <v>26</v>
      </c>
      <c r="F14" s="35" t="s">
        <v>27</v>
      </c>
      <c r="G14" s="43"/>
      <c r="H14" s="598">
        <v>610000</v>
      </c>
      <c r="I14" s="597"/>
      <c r="J14" s="933">
        <f t="shared" si="3"/>
        <v>0</v>
      </c>
    </row>
    <row r="15" spans="1:10" x14ac:dyDescent="0.2">
      <c r="B15" s="33">
        <f t="shared" si="1"/>
        <v>9</v>
      </c>
      <c r="C15" s="9"/>
      <c r="D15" s="40"/>
      <c r="E15" s="44" t="s">
        <v>28</v>
      </c>
      <c r="F15" s="35" t="s">
        <v>29</v>
      </c>
      <c r="G15" s="43"/>
      <c r="H15" s="598">
        <v>4445000</v>
      </c>
      <c r="I15" s="597"/>
      <c r="J15" s="933">
        <f t="shared" si="3"/>
        <v>0</v>
      </c>
    </row>
    <row r="16" spans="1:10" x14ac:dyDescent="0.2">
      <c r="B16" s="33">
        <f t="shared" si="1"/>
        <v>10</v>
      </c>
      <c r="C16" s="9"/>
      <c r="D16" s="40"/>
      <c r="E16" s="44" t="s">
        <v>20</v>
      </c>
      <c r="F16" s="35" t="s">
        <v>30</v>
      </c>
      <c r="G16" s="43"/>
      <c r="H16" s="598">
        <v>395000</v>
      </c>
      <c r="I16" s="597"/>
      <c r="J16" s="933">
        <f t="shared" si="3"/>
        <v>0</v>
      </c>
    </row>
    <row r="17" spans="2:10" x14ac:dyDescent="0.2">
      <c r="B17" s="33">
        <f t="shared" si="1"/>
        <v>11</v>
      </c>
      <c r="C17" s="45"/>
      <c r="D17" s="40"/>
      <c r="E17" s="44"/>
      <c r="F17" s="46"/>
      <c r="G17" s="43"/>
      <c r="H17" s="599"/>
      <c r="I17" s="1178"/>
      <c r="J17" s="932"/>
    </row>
    <row r="18" spans="2:10" x14ac:dyDescent="0.2">
      <c r="B18" s="33">
        <f t="shared" si="1"/>
        <v>12</v>
      </c>
      <c r="C18" s="8" t="s">
        <v>31</v>
      </c>
      <c r="D18" s="40"/>
      <c r="E18" s="44"/>
      <c r="F18" s="38" t="s">
        <v>32</v>
      </c>
      <c r="G18" s="43"/>
      <c r="H18" s="600">
        <f>SUM(H19:H22)</f>
        <v>2556000</v>
      </c>
      <c r="I18" s="600">
        <f t="shared" ref="I18" si="5">SUM(I19:I22)</f>
        <v>2457339</v>
      </c>
      <c r="J18" s="932">
        <f t="shared" si="3"/>
        <v>96.140023474178406</v>
      </c>
    </row>
    <row r="19" spans="2:10" x14ac:dyDescent="0.2">
      <c r="B19" s="33">
        <f t="shared" si="1"/>
        <v>13</v>
      </c>
      <c r="C19" s="26"/>
      <c r="D19" s="1" t="s">
        <v>33</v>
      </c>
      <c r="E19" s="2" t="s">
        <v>34</v>
      </c>
      <c r="F19" s="35" t="s">
        <v>35</v>
      </c>
      <c r="G19" s="35"/>
      <c r="H19" s="597">
        <v>65000</v>
      </c>
      <c r="I19" s="597">
        <v>70246</v>
      </c>
      <c r="J19" s="934">
        <f t="shared" si="3"/>
        <v>108.07076923076923</v>
      </c>
    </row>
    <row r="20" spans="2:10" x14ac:dyDescent="0.2">
      <c r="B20" s="33">
        <f t="shared" si="1"/>
        <v>14</v>
      </c>
      <c r="C20" s="26"/>
      <c r="D20" s="1" t="s">
        <v>33</v>
      </c>
      <c r="E20" s="2" t="s">
        <v>26</v>
      </c>
      <c r="F20" s="35" t="s">
        <v>124</v>
      </c>
      <c r="G20" s="35"/>
      <c r="H20" s="597">
        <v>53000</v>
      </c>
      <c r="I20" s="597">
        <v>55615</v>
      </c>
      <c r="J20" s="934">
        <f t="shared" si="3"/>
        <v>104.93396226415095</v>
      </c>
    </row>
    <row r="21" spans="2:10" x14ac:dyDescent="0.2">
      <c r="B21" s="33">
        <f t="shared" si="1"/>
        <v>15</v>
      </c>
      <c r="C21" s="26"/>
      <c r="D21" s="1" t="s">
        <v>33</v>
      </c>
      <c r="E21" s="2" t="s">
        <v>36</v>
      </c>
      <c r="F21" s="35" t="s">
        <v>178</v>
      </c>
      <c r="G21" s="35"/>
      <c r="H21" s="597">
        <v>2400000</v>
      </c>
      <c r="I21" s="597">
        <v>2284443</v>
      </c>
      <c r="J21" s="934">
        <f t="shared" si="3"/>
        <v>95.185124999999999</v>
      </c>
    </row>
    <row r="22" spans="2:10" x14ac:dyDescent="0.2">
      <c r="B22" s="33">
        <f t="shared" si="1"/>
        <v>16</v>
      </c>
      <c r="C22" s="26"/>
      <c r="D22" s="1" t="s">
        <v>33</v>
      </c>
      <c r="E22" s="2"/>
      <c r="F22" s="35" t="s">
        <v>280</v>
      </c>
      <c r="G22" s="35"/>
      <c r="H22" s="597">
        <v>38000</v>
      </c>
      <c r="I22" s="597">
        <v>47035</v>
      </c>
      <c r="J22" s="934">
        <f t="shared" si="3"/>
        <v>123.77631578947368</v>
      </c>
    </row>
    <row r="23" spans="2:10" x14ac:dyDescent="0.2">
      <c r="B23" s="33">
        <f t="shared" si="1"/>
        <v>17</v>
      </c>
      <c r="C23" s="9"/>
      <c r="D23" s="40"/>
      <c r="E23" s="44"/>
      <c r="F23" s="42"/>
      <c r="G23" s="43"/>
      <c r="H23" s="596"/>
      <c r="I23" s="596"/>
      <c r="J23" s="599"/>
    </row>
    <row r="24" spans="2:10" ht="19.5" customHeight="1" x14ac:dyDescent="0.2">
      <c r="B24" s="33">
        <f t="shared" si="1"/>
        <v>18</v>
      </c>
      <c r="C24" s="104" t="s">
        <v>37</v>
      </c>
      <c r="D24" s="105"/>
      <c r="E24" s="106"/>
      <c r="F24" s="107" t="s">
        <v>38</v>
      </c>
      <c r="G24" s="319"/>
      <c r="H24" s="601">
        <f>H26+H36+H45+H47+H51+H87+H122+H157+H223+H225+H224</f>
        <v>3117869</v>
      </c>
      <c r="I24" s="601">
        <f>I26+I36+I45+I47+I51+I87+I122+I157+I223+I225+I224</f>
        <v>3150025</v>
      </c>
      <c r="J24" s="935">
        <f t="shared" si="3"/>
        <v>101.03134544780426</v>
      </c>
    </row>
    <row r="25" spans="2:10" x14ac:dyDescent="0.2">
      <c r="B25" s="33">
        <f t="shared" si="1"/>
        <v>19</v>
      </c>
      <c r="C25" s="47"/>
      <c r="D25" s="47"/>
      <c r="E25" s="48"/>
      <c r="F25" s="35"/>
      <c r="G25" s="39"/>
      <c r="H25" s="519"/>
      <c r="I25" s="519"/>
      <c r="J25" s="931"/>
    </row>
    <row r="26" spans="2:10" x14ac:dyDescent="0.2">
      <c r="B26" s="33">
        <f t="shared" si="1"/>
        <v>20</v>
      </c>
      <c r="C26" s="8" t="s">
        <v>39</v>
      </c>
      <c r="D26" s="8"/>
      <c r="E26" s="10"/>
      <c r="F26" s="38" t="s">
        <v>40</v>
      </c>
      <c r="G26" s="39"/>
      <c r="H26" s="582">
        <f>H27</f>
        <v>435200</v>
      </c>
      <c r="I26" s="582">
        <f t="shared" ref="I26" si="6">I27</f>
        <v>406809</v>
      </c>
      <c r="J26" s="933">
        <f t="shared" si="3"/>
        <v>93.476332720588246</v>
      </c>
    </row>
    <row r="27" spans="2:10" x14ac:dyDescent="0.2">
      <c r="B27" s="33">
        <f t="shared" si="1"/>
        <v>21</v>
      </c>
      <c r="C27" s="8"/>
      <c r="D27" s="8" t="s">
        <v>41</v>
      </c>
      <c r="E27" s="10"/>
      <c r="F27" s="71" t="s">
        <v>90</v>
      </c>
      <c r="G27" s="39"/>
      <c r="H27" s="598">
        <f>H28+H29</f>
        <v>435200</v>
      </c>
      <c r="I27" s="598">
        <f t="shared" ref="I27" si="7">I28+I29</f>
        <v>406809</v>
      </c>
      <c r="J27" s="933">
        <f t="shared" si="3"/>
        <v>93.476332720588246</v>
      </c>
    </row>
    <row r="28" spans="2:10" x14ac:dyDescent="0.2">
      <c r="B28" s="33">
        <f t="shared" si="1"/>
        <v>22</v>
      </c>
      <c r="C28" s="47"/>
      <c r="D28" s="36"/>
      <c r="E28" s="11" t="s">
        <v>28</v>
      </c>
      <c r="F28" s="43" t="s">
        <v>42</v>
      </c>
      <c r="G28" s="39"/>
      <c r="H28" s="598">
        <v>79200</v>
      </c>
      <c r="I28" s="598">
        <v>107152</v>
      </c>
      <c r="J28" s="933">
        <f t="shared" si="3"/>
        <v>135.29292929292927</v>
      </c>
    </row>
    <row r="29" spans="2:10" x14ac:dyDescent="0.2">
      <c r="B29" s="33">
        <f t="shared" si="1"/>
        <v>23</v>
      </c>
      <c r="C29" s="47"/>
      <c r="D29" s="36"/>
      <c r="E29" s="11" t="s">
        <v>20</v>
      </c>
      <c r="F29" s="43" t="s">
        <v>43</v>
      </c>
      <c r="G29" s="39"/>
      <c r="H29" s="519">
        <f>SUM(H30:H34)</f>
        <v>356000</v>
      </c>
      <c r="I29" s="519">
        <f t="shared" ref="I29" si="8">SUM(I30:I34)</f>
        <v>299657</v>
      </c>
      <c r="J29" s="931">
        <f t="shared" si="3"/>
        <v>84.173314606741584</v>
      </c>
    </row>
    <row r="30" spans="2:10" x14ac:dyDescent="0.2">
      <c r="B30" s="33">
        <f t="shared" si="1"/>
        <v>24</v>
      </c>
      <c r="C30" s="47"/>
      <c r="D30" s="36"/>
      <c r="E30" s="48"/>
      <c r="F30" s="31"/>
      <c r="G30" s="39" t="s">
        <v>44</v>
      </c>
      <c r="H30" s="519">
        <v>36000</v>
      </c>
      <c r="I30" s="519">
        <v>32190</v>
      </c>
      <c r="J30" s="931">
        <f t="shared" si="3"/>
        <v>89.416666666666671</v>
      </c>
    </row>
    <row r="31" spans="2:10" x14ac:dyDescent="0.2">
      <c r="B31" s="33">
        <f t="shared" si="1"/>
        <v>25</v>
      </c>
      <c r="C31" s="47"/>
      <c r="D31" s="36"/>
      <c r="E31" s="48"/>
      <c r="F31" s="43"/>
      <c r="G31" s="39" t="s">
        <v>45</v>
      </c>
      <c r="H31" s="519">
        <f>219000-19000</f>
        <v>200000</v>
      </c>
      <c r="I31" s="519">
        <f>178782+1431+24</f>
        <v>180237</v>
      </c>
      <c r="J31" s="931">
        <f t="shared" si="3"/>
        <v>90.118499999999997</v>
      </c>
    </row>
    <row r="32" spans="2:10" x14ac:dyDescent="0.2">
      <c r="B32" s="33">
        <f t="shared" si="1"/>
        <v>26</v>
      </c>
      <c r="C32" s="47"/>
      <c r="D32" s="47"/>
      <c r="E32" s="48"/>
      <c r="F32" s="43"/>
      <c r="G32" s="39" t="s">
        <v>123</v>
      </c>
      <c r="H32" s="583">
        <v>40000</v>
      </c>
      <c r="I32" s="583">
        <f>31074+409-1</f>
        <v>31482</v>
      </c>
      <c r="J32" s="936">
        <f t="shared" si="3"/>
        <v>78.704999999999998</v>
      </c>
    </row>
    <row r="33" spans="2:10" x14ac:dyDescent="0.2">
      <c r="B33" s="33">
        <f t="shared" si="1"/>
        <v>27</v>
      </c>
      <c r="C33" s="47"/>
      <c r="D33" s="47"/>
      <c r="E33" s="48"/>
      <c r="F33" s="43"/>
      <c r="G33" s="39" t="s">
        <v>234</v>
      </c>
      <c r="H33" s="519">
        <v>70000</v>
      </c>
      <c r="I33" s="519">
        <f>51538</f>
        <v>51538</v>
      </c>
      <c r="J33" s="931">
        <f t="shared" si="3"/>
        <v>73.625714285714281</v>
      </c>
    </row>
    <row r="34" spans="2:10" x14ac:dyDescent="0.2">
      <c r="B34" s="33">
        <f t="shared" si="1"/>
        <v>28</v>
      </c>
      <c r="C34" s="47"/>
      <c r="D34" s="47"/>
      <c r="E34" s="48"/>
      <c r="F34" s="43"/>
      <c r="G34" s="39" t="s">
        <v>456</v>
      </c>
      <c r="H34" s="597">
        <v>10000</v>
      </c>
      <c r="I34" s="597">
        <f>1807+647+1410+328+18</f>
        <v>4210</v>
      </c>
      <c r="J34" s="934">
        <f t="shared" si="3"/>
        <v>42.1</v>
      </c>
    </row>
    <row r="35" spans="2:10" x14ac:dyDescent="0.2">
      <c r="B35" s="33">
        <f t="shared" si="1"/>
        <v>29</v>
      </c>
      <c r="C35" s="47"/>
      <c r="D35" s="47"/>
      <c r="E35" s="48"/>
      <c r="F35" s="43"/>
      <c r="G35" s="39"/>
      <c r="H35" s="519"/>
      <c r="I35" s="519"/>
      <c r="J35" s="931"/>
    </row>
    <row r="36" spans="2:10" x14ac:dyDescent="0.2">
      <c r="B36" s="33">
        <f t="shared" si="1"/>
        <v>30</v>
      </c>
      <c r="C36" s="8" t="s">
        <v>46</v>
      </c>
      <c r="D36" s="47"/>
      <c r="E36" s="48"/>
      <c r="F36" s="38" t="s">
        <v>47</v>
      </c>
      <c r="G36" s="39"/>
      <c r="H36" s="533">
        <f>H37+H40+H41+H43</f>
        <v>501600</v>
      </c>
      <c r="I36" s="533">
        <f>I37+I40+I41+I43+I42</f>
        <v>503837</v>
      </c>
      <c r="J36" s="931">
        <f t="shared" si="3"/>
        <v>100.44597288676236</v>
      </c>
    </row>
    <row r="37" spans="2:10" x14ac:dyDescent="0.2">
      <c r="B37" s="33">
        <f t="shared" si="1"/>
        <v>31</v>
      </c>
      <c r="C37" s="47"/>
      <c r="D37" s="36" t="s">
        <v>48</v>
      </c>
      <c r="E37" s="11"/>
      <c r="F37" s="43" t="s">
        <v>458</v>
      </c>
      <c r="G37" s="39"/>
      <c r="H37" s="519">
        <f>SUM(H38:H39)</f>
        <v>330000</v>
      </c>
      <c r="I37" s="519">
        <f t="shared" ref="I37" si="9">SUM(I38:I39)</f>
        <v>280844</v>
      </c>
      <c r="J37" s="931">
        <f t="shared" si="3"/>
        <v>85.104242424242429</v>
      </c>
    </row>
    <row r="38" spans="2:10" x14ac:dyDescent="0.2">
      <c r="B38" s="33">
        <f t="shared" si="1"/>
        <v>32</v>
      </c>
      <c r="C38" s="47"/>
      <c r="D38" s="47"/>
      <c r="E38" s="37" t="s">
        <v>56</v>
      </c>
      <c r="F38" s="31"/>
      <c r="G38" s="39" t="s">
        <v>91</v>
      </c>
      <c r="H38" s="597">
        <v>150000</v>
      </c>
      <c r="I38" s="597">
        <v>105000</v>
      </c>
      <c r="J38" s="934">
        <f t="shared" si="3"/>
        <v>70</v>
      </c>
    </row>
    <row r="39" spans="2:10" x14ac:dyDescent="0.2">
      <c r="B39" s="33">
        <f t="shared" si="1"/>
        <v>33</v>
      </c>
      <c r="C39" s="47"/>
      <c r="D39" s="47"/>
      <c r="E39" s="37" t="s">
        <v>49</v>
      </c>
      <c r="F39" s="31"/>
      <c r="G39" s="39" t="s">
        <v>50</v>
      </c>
      <c r="H39" s="597">
        <v>180000</v>
      </c>
      <c r="I39" s="597">
        <f>280844-I38</f>
        <v>175844</v>
      </c>
      <c r="J39" s="934">
        <f t="shared" si="3"/>
        <v>97.691111111111113</v>
      </c>
    </row>
    <row r="40" spans="2:10" x14ac:dyDescent="0.2">
      <c r="B40" s="33">
        <f t="shared" si="1"/>
        <v>34</v>
      </c>
      <c r="C40" s="47"/>
      <c r="D40" s="9" t="s">
        <v>51</v>
      </c>
      <c r="E40" s="37" t="s">
        <v>20</v>
      </c>
      <c r="F40" s="49" t="s">
        <v>52</v>
      </c>
      <c r="G40" s="39"/>
      <c r="H40" s="597">
        <v>90000</v>
      </c>
      <c r="I40" s="597">
        <v>49623</v>
      </c>
      <c r="J40" s="934">
        <f t="shared" si="3"/>
        <v>55.13666666666667</v>
      </c>
    </row>
    <row r="41" spans="2:10" x14ac:dyDescent="0.2">
      <c r="B41" s="33">
        <f t="shared" si="1"/>
        <v>35</v>
      </c>
      <c r="C41" s="47"/>
      <c r="D41" s="36" t="s">
        <v>53</v>
      </c>
      <c r="E41" s="11" t="s">
        <v>26</v>
      </c>
      <c r="F41" s="43" t="s">
        <v>54</v>
      </c>
      <c r="G41" s="39"/>
      <c r="H41" s="597">
        <v>80000</v>
      </c>
      <c r="I41" s="597">
        <f>197717-26775</f>
        <v>170942</v>
      </c>
      <c r="J41" s="934">
        <f t="shared" si="3"/>
        <v>213.67750000000001</v>
      </c>
    </row>
    <row r="42" spans="2:10" x14ac:dyDescent="0.2">
      <c r="B42" s="33">
        <f t="shared" si="1"/>
        <v>36</v>
      </c>
      <c r="C42" s="51"/>
      <c r="D42" s="840" t="s">
        <v>53</v>
      </c>
      <c r="E42" s="12" t="s">
        <v>49</v>
      </c>
      <c r="F42" s="50" t="s">
        <v>888</v>
      </c>
      <c r="G42" s="863"/>
      <c r="H42" s="597"/>
      <c r="I42" s="597">
        <v>793</v>
      </c>
      <c r="J42" s="934"/>
    </row>
    <row r="43" spans="2:10" x14ac:dyDescent="0.2">
      <c r="B43" s="33">
        <f t="shared" si="1"/>
        <v>37</v>
      </c>
      <c r="C43" s="51"/>
      <c r="D43" s="840" t="s">
        <v>55</v>
      </c>
      <c r="E43" s="12" t="s">
        <v>56</v>
      </c>
      <c r="F43" s="50" t="s">
        <v>92</v>
      </c>
      <c r="G43" s="864"/>
      <c r="H43" s="519">
        <v>1600</v>
      </c>
      <c r="I43" s="519">
        <v>1635</v>
      </c>
      <c r="J43" s="931">
        <f t="shared" si="3"/>
        <v>102.18750000000001</v>
      </c>
    </row>
    <row r="44" spans="2:10" x14ac:dyDescent="0.2">
      <c r="B44" s="33">
        <f t="shared" si="1"/>
        <v>38</v>
      </c>
      <c r="C44" s="51"/>
      <c r="D44" s="52"/>
      <c r="E44" s="12"/>
      <c r="F44" s="50"/>
      <c r="G44" s="863"/>
      <c r="H44" s="583"/>
      <c r="I44" s="583"/>
      <c r="J44" s="936"/>
    </row>
    <row r="45" spans="2:10" x14ac:dyDescent="0.2">
      <c r="B45" s="33">
        <f t="shared" si="1"/>
        <v>39</v>
      </c>
      <c r="C45" s="53" t="s">
        <v>57</v>
      </c>
      <c r="D45" s="52"/>
      <c r="E45" s="54"/>
      <c r="F45" s="55" t="s">
        <v>58</v>
      </c>
      <c r="G45" s="320"/>
      <c r="H45" s="533">
        <v>3000</v>
      </c>
      <c r="I45" s="533">
        <f>3626-5</f>
        <v>3621</v>
      </c>
      <c r="J45" s="931">
        <f t="shared" si="3"/>
        <v>120.7</v>
      </c>
    </row>
    <row r="46" spans="2:10" x14ac:dyDescent="0.2">
      <c r="B46" s="33">
        <f t="shared" si="1"/>
        <v>40</v>
      </c>
      <c r="C46" s="53"/>
      <c r="D46" s="12"/>
      <c r="E46" s="54"/>
      <c r="F46" s="56"/>
      <c r="G46" s="320"/>
      <c r="H46" s="583"/>
      <c r="I46" s="583"/>
      <c r="J46" s="936"/>
    </row>
    <row r="47" spans="2:10" x14ac:dyDescent="0.2">
      <c r="B47" s="33">
        <f t="shared" si="1"/>
        <v>41</v>
      </c>
      <c r="C47" s="53" t="s">
        <v>59</v>
      </c>
      <c r="D47" s="52"/>
      <c r="E47" s="54"/>
      <c r="F47" s="55" t="s">
        <v>60</v>
      </c>
      <c r="G47" s="320"/>
      <c r="H47" s="533">
        <f>SUM(H48:H49)</f>
        <v>405000</v>
      </c>
      <c r="I47" s="533">
        <f t="shared" ref="I47" si="10">SUM(I48:I49)</f>
        <v>421960</v>
      </c>
      <c r="J47" s="931">
        <f t="shared" si="3"/>
        <v>104.18765432098765</v>
      </c>
    </row>
    <row r="48" spans="2:10" ht="12.75" customHeight="1" x14ac:dyDescent="0.2">
      <c r="B48" s="33">
        <f t="shared" si="1"/>
        <v>42</v>
      </c>
      <c r="C48" s="8"/>
      <c r="D48" s="37" t="s">
        <v>61</v>
      </c>
      <c r="E48" s="11" t="s">
        <v>62</v>
      </c>
      <c r="F48" s="43" t="s">
        <v>63</v>
      </c>
      <c r="G48" s="39"/>
      <c r="H48" s="519">
        <v>275000</v>
      </c>
      <c r="I48" s="519">
        <v>324746</v>
      </c>
      <c r="J48" s="931">
        <f t="shared" si="3"/>
        <v>118.08945454545454</v>
      </c>
    </row>
    <row r="49" spans="2:10" x14ac:dyDescent="0.2">
      <c r="B49" s="33">
        <f t="shared" si="1"/>
        <v>43</v>
      </c>
      <c r="C49" s="53"/>
      <c r="D49" s="370"/>
      <c r="E49" s="12"/>
      <c r="F49" s="50" t="s">
        <v>64</v>
      </c>
      <c r="G49" s="320"/>
      <c r="H49" s="584">
        <v>130000</v>
      </c>
      <c r="I49" s="584">
        <f>462695-I48-40735</f>
        <v>97214</v>
      </c>
      <c r="J49" s="937">
        <f t="shared" si="3"/>
        <v>74.78</v>
      </c>
    </row>
    <row r="50" spans="2:10" x14ac:dyDescent="0.2">
      <c r="B50" s="33">
        <f t="shared" si="1"/>
        <v>44</v>
      </c>
      <c r="C50" s="58"/>
      <c r="D50" s="59"/>
      <c r="E50" s="12"/>
      <c r="F50" s="50"/>
      <c r="G50" s="320"/>
      <c r="H50" s="583"/>
      <c r="I50" s="583"/>
      <c r="J50" s="936"/>
    </row>
    <row r="51" spans="2:10" x14ac:dyDescent="0.2">
      <c r="B51" s="33">
        <f t="shared" si="1"/>
        <v>45</v>
      </c>
      <c r="C51" s="60"/>
      <c r="D51" s="61"/>
      <c r="E51" s="60"/>
      <c r="F51" s="112" t="s">
        <v>676</v>
      </c>
      <c r="G51" s="327"/>
      <c r="H51" s="517">
        <f>H53+H71+H83+H84</f>
        <v>500200</v>
      </c>
      <c r="I51" s="517">
        <f>I53+I71+I83+I84+I85</f>
        <v>530145</v>
      </c>
      <c r="J51" s="938">
        <f t="shared" si="3"/>
        <v>105.98660535785686</v>
      </c>
    </row>
    <row r="52" spans="2:10" x14ac:dyDescent="0.2">
      <c r="B52" s="33">
        <f t="shared" si="1"/>
        <v>46</v>
      </c>
      <c r="C52" s="62"/>
      <c r="D52" s="63"/>
      <c r="E52" s="60"/>
      <c r="F52" s="64"/>
      <c r="G52" s="64"/>
      <c r="H52" s="581"/>
      <c r="I52" s="581"/>
      <c r="J52" s="939"/>
    </row>
    <row r="53" spans="2:10" x14ac:dyDescent="0.2">
      <c r="B53" s="33">
        <f t="shared" si="1"/>
        <v>47</v>
      </c>
      <c r="C53" s="8" t="s">
        <v>39</v>
      </c>
      <c r="D53" s="63"/>
      <c r="E53" s="60"/>
      <c r="F53" s="38" t="s">
        <v>40</v>
      </c>
      <c r="G53" s="64"/>
      <c r="H53" s="582">
        <f>SUM(H54:H57)</f>
        <v>91600</v>
      </c>
      <c r="I53" s="582">
        <f t="shared" ref="I53" si="11">SUM(I54:I57)</f>
        <v>104203</v>
      </c>
      <c r="J53" s="933">
        <f t="shared" si="3"/>
        <v>113.75873362445415</v>
      </c>
    </row>
    <row r="54" spans="2:10" x14ac:dyDescent="0.2">
      <c r="B54" s="33">
        <f t="shared" si="1"/>
        <v>48</v>
      </c>
      <c r="C54" s="14"/>
      <c r="D54" s="13" t="s">
        <v>41</v>
      </c>
      <c r="E54" s="2" t="s">
        <v>28</v>
      </c>
      <c r="F54" s="66" t="s">
        <v>42</v>
      </c>
      <c r="G54" s="322"/>
      <c r="H54" s="519">
        <f>900-400</f>
        <v>500</v>
      </c>
      <c r="I54" s="519">
        <v>780</v>
      </c>
      <c r="J54" s="931">
        <f t="shared" si="3"/>
        <v>156</v>
      </c>
    </row>
    <row r="55" spans="2:10" x14ac:dyDescent="0.2">
      <c r="B55" s="33">
        <f t="shared" si="1"/>
        <v>49</v>
      </c>
      <c r="C55" s="65"/>
      <c r="D55" s="13" t="s">
        <v>41</v>
      </c>
      <c r="E55" s="2" t="s">
        <v>20</v>
      </c>
      <c r="F55" s="66" t="s">
        <v>43</v>
      </c>
      <c r="G55" s="322"/>
      <c r="H55" s="519">
        <f>900+19700+5000</f>
        <v>25600</v>
      </c>
      <c r="I55" s="519">
        <v>39511</v>
      </c>
      <c r="J55" s="931">
        <f t="shared" si="3"/>
        <v>154.33984375</v>
      </c>
    </row>
    <row r="56" spans="2:10" x14ac:dyDescent="0.2">
      <c r="B56" s="33">
        <f t="shared" si="1"/>
        <v>50</v>
      </c>
      <c r="C56" s="681"/>
      <c r="D56" s="682" t="s">
        <v>81</v>
      </c>
      <c r="E56" s="683" t="s">
        <v>20</v>
      </c>
      <c r="F56" s="684" t="s">
        <v>723</v>
      </c>
      <c r="G56" s="685"/>
      <c r="H56" s="686">
        <f>17500-2000</f>
        <v>15500</v>
      </c>
      <c r="I56" s="686">
        <v>18062</v>
      </c>
      <c r="J56" s="940">
        <f t="shared" si="3"/>
        <v>116.52903225806452</v>
      </c>
    </row>
    <row r="57" spans="2:10" ht="13.5" thickBot="1" x14ac:dyDescent="0.25">
      <c r="B57" s="33">
        <f t="shared" si="1"/>
        <v>51</v>
      </c>
      <c r="C57" s="644"/>
      <c r="D57" s="645" t="s">
        <v>41</v>
      </c>
      <c r="E57" s="646" t="s">
        <v>20</v>
      </c>
      <c r="F57" s="647" t="s">
        <v>544</v>
      </c>
      <c r="G57" s="328"/>
      <c r="H57" s="648">
        <f>88100-38100</f>
        <v>50000</v>
      </c>
      <c r="I57" s="648">
        <v>45850</v>
      </c>
      <c r="J57" s="941">
        <f t="shared" si="3"/>
        <v>91.7</v>
      </c>
    </row>
    <row r="58" spans="2:10" x14ac:dyDescent="0.2">
      <c r="B58" s="250"/>
      <c r="C58" s="251"/>
      <c r="D58" s="252"/>
      <c r="E58" s="252"/>
      <c r="F58" s="253"/>
      <c r="G58" s="253"/>
      <c r="H58" s="254"/>
      <c r="I58" s="254"/>
      <c r="J58" s="855"/>
    </row>
    <row r="59" spans="2:10" x14ac:dyDescent="0.2">
      <c r="B59" s="250"/>
      <c r="C59" s="251"/>
      <c r="D59" s="252"/>
      <c r="E59" s="252"/>
      <c r="F59" s="253"/>
      <c r="G59" s="253"/>
      <c r="H59" s="254"/>
      <c r="I59" s="254"/>
      <c r="J59" s="855"/>
    </row>
    <row r="60" spans="2:10" x14ac:dyDescent="0.2">
      <c r="B60" s="250"/>
      <c r="C60" s="251"/>
      <c r="D60" s="252"/>
      <c r="E60" s="252"/>
      <c r="F60" s="253"/>
      <c r="G60" s="253"/>
      <c r="H60" s="254"/>
      <c r="I60" s="254"/>
      <c r="J60" s="855"/>
    </row>
    <row r="61" spans="2:10" x14ac:dyDescent="0.2">
      <c r="B61" s="250"/>
      <c r="C61" s="251"/>
      <c r="D61" s="252"/>
      <c r="E61" s="252"/>
      <c r="F61" s="253"/>
      <c r="G61" s="253"/>
      <c r="H61" s="254"/>
      <c r="I61" s="254"/>
      <c r="J61" s="855"/>
    </row>
    <row r="62" spans="2:10" x14ac:dyDescent="0.2">
      <c r="B62" s="250"/>
      <c r="C62" s="251"/>
      <c r="D62" s="252"/>
      <c r="E62" s="252"/>
      <c r="F62" s="253"/>
      <c r="G62" s="253"/>
      <c r="H62" s="254"/>
      <c r="I62" s="254"/>
      <c r="J62" s="855"/>
    </row>
    <row r="63" spans="2:10" x14ac:dyDescent="0.2">
      <c r="B63" s="250"/>
      <c r="C63" s="251"/>
      <c r="D63" s="252"/>
      <c r="E63" s="252"/>
      <c r="F63" s="253"/>
      <c r="G63" s="253"/>
      <c r="H63" s="254"/>
      <c r="I63" s="254"/>
      <c r="J63" s="855"/>
    </row>
    <row r="64" spans="2:10" x14ac:dyDescent="0.2">
      <c r="B64" s="250"/>
      <c r="C64" s="251"/>
      <c r="D64" s="252"/>
      <c r="E64" s="252"/>
      <c r="F64" s="253"/>
      <c r="G64" s="253"/>
      <c r="H64" s="254"/>
      <c r="I64" s="254"/>
      <c r="J64" s="855"/>
    </row>
    <row r="65" spans="2:10" x14ac:dyDescent="0.2">
      <c r="B65" s="250"/>
      <c r="C65" s="251"/>
      <c r="D65" s="252"/>
      <c r="E65" s="252"/>
      <c r="F65" s="253"/>
      <c r="G65" s="253"/>
      <c r="H65" s="254"/>
      <c r="I65" s="254"/>
      <c r="J65" s="855"/>
    </row>
    <row r="66" spans="2:10" ht="13.5" thickBot="1" x14ac:dyDescent="0.25">
      <c r="B66" s="250"/>
      <c r="C66" s="251"/>
      <c r="D66" s="252"/>
      <c r="E66" s="252"/>
      <c r="F66" s="253"/>
      <c r="G66" s="253"/>
      <c r="H66" s="254"/>
      <c r="I66" s="254"/>
      <c r="J66" s="855"/>
    </row>
    <row r="67" spans="2:10" ht="12.75" customHeight="1" x14ac:dyDescent="0.2">
      <c r="B67" s="1106" t="s">
        <v>9</v>
      </c>
      <c r="C67" s="1107"/>
      <c r="D67" s="1107"/>
      <c r="E67" s="1107"/>
      <c r="F67" s="1107"/>
      <c r="G67" s="1107"/>
      <c r="H67" s="1101" t="s">
        <v>722</v>
      </c>
      <c r="I67" s="1101" t="s">
        <v>886</v>
      </c>
      <c r="J67" s="1112"/>
    </row>
    <row r="68" spans="2:10" ht="11.25" customHeight="1" x14ac:dyDescent="0.2">
      <c r="B68" s="1108"/>
      <c r="C68" s="1109"/>
      <c r="D68" s="1109"/>
      <c r="E68" s="1109"/>
      <c r="F68" s="1109"/>
      <c r="G68" s="1109"/>
      <c r="H68" s="1102"/>
      <c r="I68" s="1102"/>
      <c r="J68" s="1113"/>
    </row>
    <row r="69" spans="2:10" ht="14.25" customHeight="1" x14ac:dyDescent="0.2">
      <c r="B69" s="77"/>
      <c r="C69" s="1104" t="s">
        <v>10</v>
      </c>
      <c r="D69" s="78" t="s">
        <v>11</v>
      </c>
      <c r="E69" s="78" t="s">
        <v>12</v>
      </c>
      <c r="F69" s="79"/>
      <c r="G69" s="79"/>
      <c r="H69" s="1102"/>
      <c r="I69" s="1102"/>
      <c r="J69" s="1113"/>
    </row>
    <row r="70" spans="2:10" ht="14.25" customHeight="1" thickBot="1" x14ac:dyDescent="0.25">
      <c r="B70" s="81"/>
      <c r="C70" s="1105"/>
      <c r="D70" s="83"/>
      <c r="E70" s="82" t="s">
        <v>13</v>
      </c>
      <c r="F70" s="84" t="s">
        <v>14</v>
      </c>
      <c r="G70" s="311"/>
      <c r="H70" s="1103"/>
      <c r="I70" s="1103"/>
      <c r="J70" s="1114"/>
    </row>
    <row r="71" spans="2:10" ht="14.25" customHeight="1" thickTop="1" x14ac:dyDescent="0.2">
      <c r="B71" s="33">
        <f>B57+1</f>
        <v>52</v>
      </c>
      <c r="C71" s="8" t="s">
        <v>46</v>
      </c>
      <c r="D71" s="184"/>
      <c r="E71" s="185"/>
      <c r="F71" s="38" t="s">
        <v>47</v>
      </c>
      <c r="G71" s="321"/>
      <c r="H71" s="533">
        <f>H72</f>
        <v>390600</v>
      </c>
      <c r="I71" s="533">
        <f t="shared" ref="I71" si="12">I72</f>
        <v>405343</v>
      </c>
      <c r="J71" s="931">
        <f t="shared" ref="J71:J135" si="13">I71/H71*100</f>
        <v>103.77444956477215</v>
      </c>
    </row>
    <row r="72" spans="2:10" x14ac:dyDescent="0.2">
      <c r="B72" s="33">
        <f>B71+1</f>
        <v>53</v>
      </c>
      <c r="C72" s="62"/>
      <c r="D72" s="13" t="s">
        <v>53</v>
      </c>
      <c r="E72" s="2" t="s">
        <v>26</v>
      </c>
      <c r="F72" s="43" t="s">
        <v>65</v>
      </c>
      <c r="G72" s="322"/>
      <c r="H72" s="519">
        <f>SUM(H73:H81)</f>
        <v>390600</v>
      </c>
      <c r="I72" s="519">
        <f t="shared" ref="I72" si="14">SUM(I73:I81)</f>
        <v>405343</v>
      </c>
      <c r="J72" s="931">
        <f t="shared" si="13"/>
        <v>103.77444956477215</v>
      </c>
    </row>
    <row r="73" spans="2:10" x14ac:dyDescent="0.2">
      <c r="B73" s="33">
        <f t="shared" si="1"/>
        <v>54</v>
      </c>
      <c r="C73" s="65"/>
      <c r="D73" s="2"/>
      <c r="E73" s="2"/>
      <c r="F73" s="43"/>
      <c r="G73" s="321" t="s">
        <v>93</v>
      </c>
      <c r="H73" s="519">
        <v>65000</v>
      </c>
      <c r="I73" s="519">
        <v>90061</v>
      </c>
      <c r="J73" s="931">
        <f t="shared" si="13"/>
        <v>138.55538461538461</v>
      </c>
    </row>
    <row r="74" spans="2:10" x14ac:dyDescent="0.2">
      <c r="B74" s="33">
        <f t="shared" si="1"/>
        <v>55</v>
      </c>
      <c r="C74" s="65"/>
      <c r="D74" s="2"/>
      <c r="E74" s="2"/>
      <c r="F74" s="43"/>
      <c r="G74" s="321" t="s">
        <v>424</v>
      </c>
      <c r="H74" s="519">
        <v>17000</v>
      </c>
      <c r="I74" s="519">
        <v>14390</v>
      </c>
      <c r="J74" s="931">
        <f t="shared" si="13"/>
        <v>84.647058823529406</v>
      </c>
    </row>
    <row r="75" spans="2:10" x14ac:dyDescent="0.2">
      <c r="B75" s="33">
        <f t="shared" si="1"/>
        <v>56</v>
      </c>
      <c r="C75" s="62"/>
      <c r="D75" s="120"/>
      <c r="E75" s="120"/>
      <c r="F75" s="50"/>
      <c r="G75" s="322" t="s">
        <v>543</v>
      </c>
      <c r="H75" s="583">
        <f>70000-10000</f>
        <v>60000</v>
      </c>
      <c r="I75" s="583">
        <v>60024</v>
      </c>
      <c r="J75" s="936">
        <f t="shared" si="13"/>
        <v>100.03999999999999</v>
      </c>
    </row>
    <row r="76" spans="2:10" x14ac:dyDescent="0.2">
      <c r="B76" s="33">
        <f t="shared" si="1"/>
        <v>57</v>
      </c>
      <c r="C76" s="65"/>
      <c r="D76" s="2"/>
      <c r="E76" s="2"/>
      <c r="F76" s="43"/>
      <c r="G76" s="321" t="s">
        <v>94</v>
      </c>
      <c r="H76" s="519">
        <v>79100</v>
      </c>
      <c r="I76" s="519">
        <v>73329</v>
      </c>
      <c r="J76" s="931">
        <f t="shared" si="13"/>
        <v>92.70417193426043</v>
      </c>
    </row>
    <row r="77" spans="2:10" x14ac:dyDescent="0.2">
      <c r="B77" s="33">
        <f t="shared" si="1"/>
        <v>58</v>
      </c>
      <c r="C77" s="65"/>
      <c r="D77" s="2"/>
      <c r="E77" s="2"/>
      <c r="F77" s="43"/>
      <c r="G77" s="321" t="s">
        <v>264</v>
      </c>
      <c r="H77" s="519">
        <v>145000</v>
      </c>
      <c r="I77" s="519">
        <v>146022</v>
      </c>
      <c r="J77" s="931">
        <f t="shared" si="13"/>
        <v>100.70482758620689</v>
      </c>
    </row>
    <row r="78" spans="2:10" ht="12.75" customHeight="1" x14ac:dyDescent="0.2">
      <c r="B78" s="33">
        <f t="shared" si="1"/>
        <v>59</v>
      </c>
      <c r="C78" s="65"/>
      <c r="D78" s="2"/>
      <c r="E78" s="2"/>
      <c r="F78" s="43"/>
      <c r="G78" s="321" t="s">
        <v>265</v>
      </c>
      <c r="H78" s="584">
        <f>95000-95000</f>
        <v>0</v>
      </c>
      <c r="I78" s="584"/>
      <c r="J78" s="937"/>
    </row>
    <row r="79" spans="2:10" ht="12.75" customHeight="1" x14ac:dyDescent="0.2">
      <c r="B79" s="33">
        <f t="shared" si="1"/>
        <v>60</v>
      </c>
      <c r="C79" s="65"/>
      <c r="D79" s="2"/>
      <c r="E79" s="2"/>
      <c r="F79" s="43"/>
      <c r="G79" s="321" t="s">
        <v>266</v>
      </c>
      <c r="H79" s="583">
        <f>10400-400</f>
        <v>10000</v>
      </c>
      <c r="I79" s="583">
        <v>7023</v>
      </c>
      <c r="J79" s="936">
        <f t="shared" si="13"/>
        <v>70.23</v>
      </c>
    </row>
    <row r="80" spans="2:10" ht="12.75" customHeight="1" x14ac:dyDescent="0.2">
      <c r="B80" s="33">
        <f t="shared" ref="B80:B98" si="15">B79+1</f>
        <v>61</v>
      </c>
      <c r="C80" s="62"/>
      <c r="D80" s="120"/>
      <c r="E80" s="120"/>
      <c r="F80" s="50"/>
      <c r="G80" s="322" t="s">
        <v>296</v>
      </c>
      <c r="H80" s="583">
        <v>12500</v>
      </c>
      <c r="I80" s="583">
        <v>12211</v>
      </c>
      <c r="J80" s="936">
        <f t="shared" si="13"/>
        <v>97.688000000000002</v>
      </c>
    </row>
    <row r="81" spans="1:10" ht="13.5" customHeight="1" x14ac:dyDescent="0.2">
      <c r="B81" s="33">
        <f t="shared" si="15"/>
        <v>62</v>
      </c>
      <c r="C81" s="62"/>
      <c r="D81" s="120"/>
      <c r="E81" s="120"/>
      <c r="F81" s="50"/>
      <c r="G81" s="322" t="s">
        <v>66</v>
      </c>
      <c r="H81" s="583">
        <f>20000-18000</f>
        <v>2000</v>
      </c>
      <c r="I81" s="583">
        <v>2283</v>
      </c>
      <c r="J81" s="936">
        <f t="shared" si="13"/>
        <v>114.14999999999999</v>
      </c>
    </row>
    <row r="82" spans="1:10" ht="13.5" customHeight="1" x14ac:dyDescent="0.2">
      <c r="B82" s="33">
        <f t="shared" si="15"/>
        <v>63</v>
      </c>
      <c r="C82" s="65"/>
      <c r="D82" s="2"/>
      <c r="E82" s="2"/>
      <c r="F82" s="43"/>
      <c r="G82" s="321"/>
      <c r="H82" s="519"/>
      <c r="I82" s="519"/>
      <c r="J82" s="931"/>
    </row>
    <row r="83" spans="1:10" ht="13.5" customHeight="1" x14ac:dyDescent="0.2">
      <c r="B83" s="33">
        <f t="shared" si="15"/>
        <v>64</v>
      </c>
      <c r="C83" s="8" t="s">
        <v>59</v>
      </c>
      <c r="D83" s="2" t="s">
        <v>61</v>
      </c>
      <c r="E83" s="2" t="s">
        <v>846</v>
      </c>
      <c r="F83" s="43" t="s">
        <v>847</v>
      </c>
      <c r="G83" s="321"/>
      <c r="H83" s="519">
        <v>9000</v>
      </c>
      <c r="I83" s="519">
        <v>8392</v>
      </c>
      <c r="J83" s="931">
        <f t="shared" si="13"/>
        <v>93.24444444444444</v>
      </c>
    </row>
    <row r="84" spans="1:10" ht="13.5" customHeight="1" x14ac:dyDescent="0.2">
      <c r="B84" s="33">
        <f t="shared" si="15"/>
        <v>65</v>
      </c>
      <c r="C84" s="65"/>
      <c r="D84" s="2" t="s">
        <v>61</v>
      </c>
      <c r="E84" s="2" t="s">
        <v>848</v>
      </c>
      <c r="F84" s="43" t="s">
        <v>849</v>
      </c>
      <c r="G84" s="321"/>
      <c r="H84" s="519">
        <v>9000</v>
      </c>
      <c r="I84" s="519">
        <v>11194</v>
      </c>
      <c r="J84" s="931">
        <f t="shared" si="13"/>
        <v>124.37777777777779</v>
      </c>
    </row>
    <row r="85" spans="1:10" ht="13.5" customHeight="1" x14ac:dyDescent="0.2">
      <c r="B85" s="33">
        <f t="shared" si="15"/>
        <v>66</v>
      </c>
      <c r="C85" s="65"/>
      <c r="D85" s="2" t="s">
        <v>61</v>
      </c>
      <c r="E85" s="2" t="s">
        <v>907</v>
      </c>
      <c r="F85" s="43" t="s">
        <v>64</v>
      </c>
      <c r="G85" s="321"/>
      <c r="H85" s="519"/>
      <c r="I85" s="519">
        <v>1013</v>
      </c>
      <c r="J85" s="931"/>
    </row>
    <row r="86" spans="1:10" x14ac:dyDescent="0.2">
      <c r="B86" s="33">
        <f t="shared" si="15"/>
        <v>67</v>
      </c>
      <c r="C86" s="65"/>
      <c r="D86" s="184"/>
      <c r="E86" s="185"/>
      <c r="F86" s="66"/>
      <c r="G86" s="66"/>
      <c r="H86" s="597"/>
      <c r="I86" s="597"/>
      <c r="J86" s="934"/>
    </row>
    <row r="87" spans="1:10" ht="13.5" customHeight="1" x14ac:dyDescent="0.2">
      <c r="B87" s="33">
        <f t="shared" si="15"/>
        <v>68</v>
      </c>
      <c r="C87" s="8"/>
      <c r="D87" s="8"/>
      <c r="E87" s="10"/>
      <c r="F87" s="113" t="s">
        <v>67</v>
      </c>
      <c r="G87" s="316"/>
      <c r="H87" s="602">
        <f>H89+H95+H100+H101+H103+H109+H113+H115+H116+H117+H118+H119</f>
        <v>722788</v>
      </c>
      <c r="I87" s="602">
        <f>I89+I95+I100+I101+I103+I109+I113+I115+I116+I117+I118+I119+I114</f>
        <v>732698</v>
      </c>
      <c r="J87" s="942">
        <f t="shared" si="13"/>
        <v>101.37107976336077</v>
      </c>
    </row>
    <row r="88" spans="1:10" s="129" customFormat="1" ht="1.5" customHeight="1" x14ac:dyDescent="0.2">
      <c r="A88" s="173"/>
      <c r="B88" s="33">
        <f t="shared" si="15"/>
        <v>69</v>
      </c>
      <c r="C88" s="186"/>
      <c r="D88" s="186"/>
      <c r="E88" s="187"/>
      <c r="F88" s="188"/>
      <c r="G88" s="323"/>
      <c r="H88" s="603"/>
      <c r="I88" s="603"/>
      <c r="J88" s="937" t="e">
        <f t="shared" si="13"/>
        <v>#DIV/0!</v>
      </c>
    </row>
    <row r="89" spans="1:10" ht="12.75" customHeight="1" x14ac:dyDescent="0.2">
      <c r="B89" s="33">
        <f t="shared" si="15"/>
        <v>70</v>
      </c>
      <c r="C89" s="36"/>
      <c r="D89" s="36"/>
      <c r="E89" s="2"/>
      <c r="F89" s="67" t="s">
        <v>68</v>
      </c>
      <c r="G89" s="324"/>
      <c r="H89" s="595">
        <f>SUM(H90:H93)</f>
        <v>125600</v>
      </c>
      <c r="I89" s="595">
        <f t="shared" ref="I89" si="16">SUM(I90:I93)</f>
        <v>120603</v>
      </c>
      <c r="J89" s="934">
        <f t="shared" si="13"/>
        <v>96.021496815286625</v>
      </c>
    </row>
    <row r="90" spans="1:10" ht="12.75" customHeight="1" x14ac:dyDescent="0.2">
      <c r="B90" s="33">
        <f t="shared" si="15"/>
        <v>71</v>
      </c>
      <c r="C90" s="13"/>
      <c r="D90" s="13" t="s">
        <v>53</v>
      </c>
      <c r="E90" s="2" t="s">
        <v>28</v>
      </c>
      <c r="F90" s="49" t="s">
        <v>148</v>
      </c>
      <c r="G90" s="324"/>
      <c r="H90" s="597">
        <v>109000</v>
      </c>
      <c r="I90" s="597">
        <v>102978</v>
      </c>
      <c r="J90" s="934">
        <f t="shared" si="13"/>
        <v>94.475229357798156</v>
      </c>
    </row>
    <row r="91" spans="1:10" ht="13.5" customHeight="1" x14ac:dyDescent="0.2">
      <c r="B91" s="33">
        <f t="shared" si="15"/>
        <v>72</v>
      </c>
      <c r="C91" s="36"/>
      <c r="D91" s="36" t="s">
        <v>53</v>
      </c>
      <c r="E91" s="37" t="s">
        <v>20</v>
      </c>
      <c r="F91" s="31" t="s">
        <v>149</v>
      </c>
      <c r="G91" s="31"/>
      <c r="H91" s="519">
        <v>9000</v>
      </c>
      <c r="I91" s="519">
        <v>9509</v>
      </c>
      <c r="J91" s="931">
        <f t="shared" si="13"/>
        <v>105.65555555555555</v>
      </c>
    </row>
    <row r="92" spans="1:10" x14ac:dyDescent="0.2">
      <c r="B92" s="33">
        <f t="shared" si="15"/>
        <v>73</v>
      </c>
      <c r="C92" s="36"/>
      <c r="D92" s="36" t="s">
        <v>53</v>
      </c>
      <c r="E92" s="37" t="s">
        <v>20</v>
      </c>
      <c r="F92" s="31" t="s">
        <v>150</v>
      </c>
      <c r="G92" s="31"/>
      <c r="H92" s="519">
        <v>6600</v>
      </c>
      <c r="I92" s="519">
        <v>6870</v>
      </c>
      <c r="J92" s="931">
        <f t="shared" si="13"/>
        <v>104.09090909090909</v>
      </c>
    </row>
    <row r="93" spans="1:10" x14ac:dyDescent="0.2">
      <c r="B93" s="33">
        <f t="shared" si="15"/>
        <v>74</v>
      </c>
      <c r="C93" s="36"/>
      <c r="D93" s="36" t="s">
        <v>53</v>
      </c>
      <c r="E93" s="37" t="s">
        <v>20</v>
      </c>
      <c r="F93" s="31" t="s">
        <v>522</v>
      </c>
      <c r="G93" s="31"/>
      <c r="H93" s="519">
        <v>1000</v>
      </c>
      <c r="I93" s="519">
        <v>1246</v>
      </c>
      <c r="J93" s="931">
        <f t="shared" si="13"/>
        <v>124.6</v>
      </c>
    </row>
    <row r="94" spans="1:10" x14ac:dyDescent="0.2">
      <c r="B94" s="33">
        <f t="shared" si="15"/>
        <v>75</v>
      </c>
      <c r="C94" s="36"/>
      <c r="D94" s="36"/>
      <c r="E94" s="37"/>
      <c r="F94" s="31"/>
      <c r="G94" s="31"/>
      <c r="H94" s="519"/>
      <c r="I94" s="519"/>
      <c r="J94" s="931"/>
    </row>
    <row r="95" spans="1:10" x14ac:dyDescent="0.2">
      <c r="B95" s="33">
        <f t="shared" si="15"/>
        <v>76</v>
      </c>
      <c r="C95" s="36"/>
      <c r="D95" s="36"/>
      <c r="E95" s="37"/>
      <c r="F95" s="68" t="s">
        <v>70</v>
      </c>
      <c r="G95" s="31"/>
      <c r="H95" s="533">
        <f>SUM(H96:H98)</f>
        <v>108000</v>
      </c>
      <c r="I95" s="533">
        <f t="shared" ref="I95" si="17">SUM(I96:I98)</f>
        <v>102044</v>
      </c>
      <c r="J95" s="931">
        <f t="shared" si="13"/>
        <v>94.485185185185188</v>
      </c>
    </row>
    <row r="96" spans="1:10" x14ac:dyDescent="0.2">
      <c r="B96" s="33">
        <f t="shared" si="15"/>
        <v>77</v>
      </c>
      <c r="C96" s="36"/>
      <c r="D96" s="36" t="s">
        <v>53</v>
      </c>
      <c r="E96" s="37" t="s">
        <v>26</v>
      </c>
      <c r="F96" s="31" t="s">
        <v>300</v>
      </c>
      <c r="G96" s="31"/>
      <c r="H96" s="519">
        <v>95200</v>
      </c>
      <c r="I96" s="519">
        <v>87564</v>
      </c>
      <c r="J96" s="931">
        <f t="shared" si="13"/>
        <v>91.978991596638664</v>
      </c>
    </row>
    <row r="97" spans="2:10" x14ac:dyDescent="0.2">
      <c r="B97" s="33">
        <f t="shared" si="15"/>
        <v>78</v>
      </c>
      <c r="C97" s="36"/>
      <c r="D97" s="36" t="s">
        <v>53</v>
      </c>
      <c r="E97" s="37" t="s">
        <v>26</v>
      </c>
      <c r="F97" s="31" t="s">
        <v>154</v>
      </c>
      <c r="G97" s="31"/>
      <c r="H97" s="519">
        <v>5500</v>
      </c>
      <c r="I97" s="519">
        <v>5202</v>
      </c>
      <c r="J97" s="931">
        <f t="shared" si="13"/>
        <v>94.581818181818178</v>
      </c>
    </row>
    <row r="98" spans="2:10" ht="12.75" customHeight="1" x14ac:dyDescent="0.2">
      <c r="B98" s="33">
        <f t="shared" si="15"/>
        <v>79</v>
      </c>
      <c r="C98" s="36"/>
      <c r="D98" s="36" t="s">
        <v>53</v>
      </c>
      <c r="E98" s="37" t="s">
        <v>26</v>
      </c>
      <c r="F98" s="31" t="s">
        <v>71</v>
      </c>
      <c r="G98" s="31"/>
      <c r="H98" s="519">
        <v>7300</v>
      </c>
      <c r="I98" s="519">
        <v>9278</v>
      </c>
      <c r="J98" s="931">
        <f t="shared" si="13"/>
        <v>127.0958904109589</v>
      </c>
    </row>
    <row r="99" spans="2:10" ht="12.75" customHeight="1" x14ac:dyDescent="0.2">
      <c r="B99" s="33">
        <f t="shared" ref="B99:B141" si="18">B98+1</f>
        <v>80</v>
      </c>
      <c r="C99" s="36"/>
      <c r="D99" s="36"/>
      <c r="E99" s="37"/>
      <c r="F99" s="31"/>
      <c r="G99" s="31"/>
      <c r="H99" s="519"/>
      <c r="I99" s="519"/>
      <c r="J99" s="931"/>
    </row>
    <row r="100" spans="2:10" ht="12.75" customHeight="1" x14ac:dyDescent="0.2">
      <c r="B100" s="33">
        <f t="shared" si="18"/>
        <v>81</v>
      </c>
      <c r="C100" s="36"/>
      <c r="D100" s="36"/>
      <c r="E100" s="37"/>
      <c r="F100" s="68" t="s">
        <v>125</v>
      </c>
      <c r="G100" s="31"/>
      <c r="H100" s="533">
        <v>2000</v>
      </c>
      <c r="I100" s="533">
        <v>1832</v>
      </c>
      <c r="J100" s="931">
        <f t="shared" si="13"/>
        <v>91.600000000000009</v>
      </c>
    </row>
    <row r="101" spans="2:10" ht="12.75" customHeight="1" x14ac:dyDescent="0.2">
      <c r="B101" s="33">
        <f t="shared" si="18"/>
        <v>82</v>
      </c>
      <c r="C101" s="36"/>
      <c r="D101" s="36"/>
      <c r="E101" s="37"/>
      <c r="F101" s="68" t="s">
        <v>584</v>
      </c>
      <c r="G101" s="31"/>
      <c r="H101" s="533">
        <v>5800</v>
      </c>
      <c r="I101" s="533">
        <v>5658</v>
      </c>
      <c r="J101" s="931">
        <f t="shared" si="13"/>
        <v>97.551724137931046</v>
      </c>
    </row>
    <row r="102" spans="2:10" ht="12.75" customHeight="1" x14ac:dyDescent="0.2">
      <c r="B102" s="33">
        <f t="shared" si="18"/>
        <v>83</v>
      </c>
      <c r="C102" s="36"/>
      <c r="D102" s="36"/>
      <c r="E102" s="37"/>
      <c r="F102" s="68"/>
      <c r="G102" s="31"/>
      <c r="H102" s="532"/>
      <c r="I102" s="532"/>
      <c r="J102" s="936"/>
    </row>
    <row r="103" spans="2:10" ht="12.75" customHeight="1" x14ac:dyDescent="0.2">
      <c r="B103" s="33">
        <f t="shared" si="18"/>
        <v>84</v>
      </c>
      <c r="C103" s="36"/>
      <c r="D103" s="36"/>
      <c r="E103" s="37"/>
      <c r="F103" s="68" t="s">
        <v>69</v>
      </c>
      <c r="G103" s="31"/>
      <c r="H103" s="533">
        <f>SUM(H104:H107)</f>
        <v>334500</v>
      </c>
      <c r="I103" s="533">
        <f t="shared" ref="I103" si="19">SUM(I104:I107)</f>
        <v>348156</v>
      </c>
      <c r="J103" s="931">
        <f t="shared" si="13"/>
        <v>104.08251121076233</v>
      </c>
    </row>
    <row r="104" spans="2:10" ht="13.5" customHeight="1" x14ac:dyDescent="0.2">
      <c r="B104" s="33">
        <f t="shared" si="18"/>
        <v>85</v>
      </c>
      <c r="C104" s="36"/>
      <c r="D104" s="36" t="s">
        <v>53</v>
      </c>
      <c r="E104" s="37" t="s">
        <v>26</v>
      </c>
      <c r="F104" s="31" t="s">
        <v>153</v>
      </c>
      <c r="G104" s="31"/>
      <c r="H104" s="519">
        <v>9300</v>
      </c>
      <c r="I104" s="519">
        <v>8926</v>
      </c>
      <c r="J104" s="931">
        <f t="shared" si="13"/>
        <v>95.978494623655919</v>
      </c>
    </row>
    <row r="105" spans="2:10" x14ac:dyDescent="0.2">
      <c r="B105" s="33">
        <f t="shared" si="18"/>
        <v>86</v>
      </c>
      <c r="C105" s="36"/>
      <c r="D105" s="36" t="s">
        <v>53</v>
      </c>
      <c r="E105" s="37" t="s">
        <v>26</v>
      </c>
      <c r="F105" s="31" t="s">
        <v>152</v>
      </c>
      <c r="G105" s="31"/>
      <c r="H105" s="519">
        <v>134000</v>
      </c>
      <c r="I105" s="519">
        <v>143510</v>
      </c>
      <c r="J105" s="931">
        <f t="shared" si="13"/>
        <v>107.09701492537313</v>
      </c>
    </row>
    <row r="106" spans="2:10" x14ac:dyDescent="0.2">
      <c r="B106" s="33">
        <f t="shared" si="18"/>
        <v>87</v>
      </c>
      <c r="C106" s="36"/>
      <c r="D106" s="36" t="s">
        <v>53</v>
      </c>
      <c r="E106" s="37" t="s">
        <v>26</v>
      </c>
      <c r="F106" s="31" t="s">
        <v>177</v>
      </c>
      <c r="G106" s="31"/>
      <c r="H106" s="519">
        <v>191200</v>
      </c>
      <c r="I106" s="519">
        <v>195720</v>
      </c>
      <c r="J106" s="931">
        <f t="shared" si="13"/>
        <v>102.36401673640168</v>
      </c>
    </row>
    <row r="107" spans="2:10" x14ac:dyDescent="0.2">
      <c r="B107" s="33">
        <f t="shared" si="18"/>
        <v>88</v>
      </c>
      <c r="C107" s="36"/>
      <c r="D107" s="36" t="s">
        <v>41</v>
      </c>
      <c r="E107" s="37" t="s">
        <v>20</v>
      </c>
      <c r="F107" s="49" t="s">
        <v>72</v>
      </c>
      <c r="G107" s="31"/>
      <c r="H107" s="519"/>
      <c r="I107" s="519"/>
      <c r="J107" s="931"/>
    </row>
    <row r="108" spans="2:10" x14ac:dyDescent="0.2">
      <c r="B108" s="33">
        <f t="shared" si="18"/>
        <v>89</v>
      </c>
      <c r="C108" s="36"/>
      <c r="D108" s="36"/>
      <c r="E108" s="37"/>
      <c r="F108" s="49"/>
      <c r="G108" s="31"/>
      <c r="H108" s="519"/>
      <c r="I108" s="519"/>
      <c r="J108" s="931"/>
    </row>
    <row r="109" spans="2:10" x14ac:dyDescent="0.2">
      <c r="B109" s="33">
        <f t="shared" si="18"/>
        <v>90</v>
      </c>
      <c r="C109" s="36"/>
      <c r="D109" s="37"/>
      <c r="E109" s="37"/>
      <c r="F109" s="68" t="s">
        <v>188</v>
      </c>
      <c r="G109" s="31"/>
      <c r="H109" s="533">
        <f>H110+H111</f>
        <v>129100</v>
      </c>
      <c r="I109" s="533">
        <f t="shared" ref="I109" si="20">I110+I111</f>
        <v>142697</v>
      </c>
      <c r="J109" s="931">
        <f t="shared" si="13"/>
        <v>110.53214562354763</v>
      </c>
    </row>
    <row r="110" spans="2:10" ht="12.75" customHeight="1" x14ac:dyDescent="0.2">
      <c r="B110" s="33">
        <f t="shared" si="18"/>
        <v>91</v>
      </c>
      <c r="C110" s="36"/>
      <c r="D110" s="2" t="s">
        <v>53</v>
      </c>
      <c r="E110" s="2" t="s">
        <v>26</v>
      </c>
      <c r="F110" s="31" t="s">
        <v>317</v>
      </c>
      <c r="G110" s="324"/>
      <c r="H110" s="519">
        <v>108000</v>
      </c>
      <c r="I110" s="519">
        <v>113974</v>
      </c>
      <c r="J110" s="931">
        <f t="shared" si="13"/>
        <v>105.53148148148148</v>
      </c>
    </row>
    <row r="111" spans="2:10" ht="13.5" customHeight="1" x14ac:dyDescent="0.2">
      <c r="B111" s="33">
        <f t="shared" si="18"/>
        <v>92</v>
      </c>
      <c r="C111" s="36"/>
      <c r="D111" s="2" t="s">
        <v>53</v>
      </c>
      <c r="E111" s="2" t="s">
        <v>26</v>
      </c>
      <c r="F111" s="31" t="s">
        <v>318</v>
      </c>
      <c r="G111" s="324"/>
      <c r="H111" s="519">
        <v>21100</v>
      </c>
      <c r="I111" s="519">
        <v>28723</v>
      </c>
      <c r="J111" s="931">
        <f t="shared" si="13"/>
        <v>136.12796208530807</v>
      </c>
    </row>
    <row r="112" spans="2:10" x14ac:dyDescent="0.2">
      <c r="B112" s="33">
        <f t="shared" si="18"/>
        <v>93</v>
      </c>
      <c r="C112" s="36"/>
      <c r="D112" s="2"/>
      <c r="E112" s="2"/>
      <c r="F112" s="31"/>
      <c r="G112" s="324"/>
      <c r="H112" s="519"/>
      <c r="I112" s="519"/>
      <c r="J112" s="931"/>
    </row>
    <row r="113" spans="1:10" x14ac:dyDescent="0.2">
      <c r="B113" s="33">
        <f t="shared" si="18"/>
        <v>94</v>
      </c>
      <c r="C113" s="36"/>
      <c r="D113" s="36" t="s">
        <v>41</v>
      </c>
      <c r="E113" s="37" t="s">
        <v>20</v>
      </c>
      <c r="F113" s="49" t="s">
        <v>72</v>
      </c>
      <c r="G113" s="31"/>
      <c r="H113" s="522">
        <v>1000</v>
      </c>
      <c r="I113" s="522">
        <v>978</v>
      </c>
      <c r="J113" s="930">
        <f t="shared" si="13"/>
        <v>97.8</v>
      </c>
    </row>
    <row r="114" spans="1:10" x14ac:dyDescent="0.2">
      <c r="B114" s="33">
        <f t="shared" si="18"/>
        <v>95</v>
      </c>
      <c r="C114" s="36"/>
      <c r="D114" s="36"/>
      <c r="E114" s="37" t="s">
        <v>503</v>
      </c>
      <c r="F114" s="946" t="s">
        <v>908</v>
      </c>
      <c r="G114" s="31"/>
      <c r="H114" s="522"/>
      <c r="I114" s="522">
        <v>8</v>
      </c>
      <c r="J114" s="930"/>
    </row>
    <row r="115" spans="1:10" x14ac:dyDescent="0.2">
      <c r="B115" s="33">
        <f t="shared" si="18"/>
        <v>96</v>
      </c>
      <c r="C115" s="36"/>
      <c r="D115" s="36" t="s">
        <v>61</v>
      </c>
      <c r="E115" s="37" t="s">
        <v>34</v>
      </c>
      <c r="F115" s="49" t="s">
        <v>851</v>
      </c>
      <c r="G115" s="31"/>
      <c r="H115" s="522">
        <v>3835</v>
      </c>
      <c r="I115" s="522">
        <v>3835</v>
      </c>
      <c r="J115" s="930">
        <f t="shared" si="13"/>
        <v>100</v>
      </c>
    </row>
    <row r="116" spans="1:10" x14ac:dyDescent="0.2">
      <c r="B116" s="33">
        <f t="shared" si="18"/>
        <v>97</v>
      </c>
      <c r="C116" s="36"/>
      <c r="D116" s="36" t="s">
        <v>61</v>
      </c>
      <c r="E116" s="37" t="s">
        <v>848</v>
      </c>
      <c r="F116" s="49" t="s">
        <v>852</v>
      </c>
      <c r="G116" s="31"/>
      <c r="H116" s="522">
        <v>585</v>
      </c>
      <c r="I116" s="522">
        <v>896</v>
      </c>
      <c r="J116" s="930">
        <f t="shared" si="13"/>
        <v>153.16239316239319</v>
      </c>
    </row>
    <row r="117" spans="1:10" x14ac:dyDescent="0.2">
      <c r="B117" s="33">
        <f t="shared" si="18"/>
        <v>98</v>
      </c>
      <c r="C117" s="36"/>
      <c r="D117" s="36" t="s">
        <v>61</v>
      </c>
      <c r="E117" s="37" t="s">
        <v>850</v>
      </c>
      <c r="F117" s="49" t="s">
        <v>853</v>
      </c>
      <c r="G117" s="31"/>
      <c r="H117" s="522">
        <v>2141</v>
      </c>
      <c r="I117" s="522">
        <v>2204</v>
      </c>
      <c r="J117" s="930">
        <f t="shared" si="13"/>
        <v>102.94255021018215</v>
      </c>
    </row>
    <row r="118" spans="1:10" x14ac:dyDescent="0.2">
      <c r="B118" s="33">
        <f t="shared" si="18"/>
        <v>99</v>
      </c>
      <c r="C118" s="36"/>
      <c r="D118" s="36" t="s">
        <v>603</v>
      </c>
      <c r="E118" s="37"/>
      <c r="F118" s="49" t="s">
        <v>854</v>
      </c>
      <c r="G118" s="31"/>
      <c r="H118" s="522">
        <f>2700+1087</f>
        <v>3787</v>
      </c>
      <c r="I118" s="522">
        <v>3787</v>
      </c>
      <c r="J118" s="930">
        <f t="shared" si="13"/>
        <v>100</v>
      </c>
    </row>
    <row r="119" spans="1:10" x14ac:dyDescent="0.2">
      <c r="B119" s="33">
        <f t="shared" si="18"/>
        <v>100</v>
      </c>
      <c r="C119" s="36"/>
      <c r="D119" s="36" t="s">
        <v>81</v>
      </c>
      <c r="E119" s="37" t="s">
        <v>26</v>
      </c>
      <c r="F119" s="49" t="s">
        <v>870</v>
      </c>
      <c r="G119" s="31"/>
      <c r="H119" s="522">
        <v>6440</v>
      </c>
      <c r="I119" s="522">
        <v>0</v>
      </c>
      <c r="J119" s="930">
        <f t="shared" si="13"/>
        <v>0</v>
      </c>
    </row>
    <row r="120" spans="1:10" x14ac:dyDescent="0.2">
      <c r="B120" s="33">
        <f t="shared" si="18"/>
        <v>101</v>
      </c>
      <c r="C120" s="36"/>
      <c r="D120" s="36"/>
      <c r="E120" s="37"/>
      <c r="F120" s="49"/>
      <c r="G120" s="31"/>
      <c r="H120" s="522"/>
      <c r="I120" s="522"/>
      <c r="J120" s="930"/>
    </row>
    <row r="121" spans="1:10" x14ac:dyDescent="0.2">
      <c r="B121" s="33">
        <f t="shared" si="18"/>
        <v>102</v>
      </c>
      <c r="C121" s="36"/>
      <c r="D121" s="36"/>
      <c r="E121" s="37"/>
      <c r="F121" s="49"/>
      <c r="G121" s="31"/>
      <c r="H121" s="519"/>
      <c r="I121" s="519"/>
      <c r="J121" s="931"/>
    </row>
    <row r="122" spans="1:10" ht="12.75" customHeight="1" x14ac:dyDescent="0.2">
      <c r="B122" s="33">
        <f t="shared" si="18"/>
        <v>103</v>
      </c>
      <c r="C122" s="8"/>
      <c r="D122" s="53"/>
      <c r="E122" s="69"/>
      <c r="F122" s="113" t="s">
        <v>73</v>
      </c>
      <c r="G122" s="316"/>
      <c r="H122" s="518">
        <f>H124+H126+H128+H147+H146+H149</f>
        <v>145792</v>
      </c>
      <c r="I122" s="518">
        <f>I124+I126+I128+I147+I146+I149</f>
        <v>135683</v>
      </c>
      <c r="J122" s="943">
        <f t="shared" si="13"/>
        <v>93.066149034240567</v>
      </c>
    </row>
    <row r="123" spans="1:10" ht="1.5" customHeight="1" x14ac:dyDescent="0.2">
      <c r="B123" s="33">
        <f t="shared" si="18"/>
        <v>104</v>
      </c>
      <c r="C123" s="36"/>
      <c r="D123" s="36"/>
      <c r="E123" s="37"/>
      <c r="F123" s="49"/>
      <c r="G123" s="31"/>
      <c r="H123" s="519"/>
      <c r="I123" s="519"/>
      <c r="J123" s="931" t="e">
        <f t="shared" si="13"/>
        <v>#DIV/0!</v>
      </c>
    </row>
    <row r="124" spans="1:10" s="153" customFormat="1" ht="12.75" customHeight="1" x14ac:dyDescent="0.2">
      <c r="A124" s="240"/>
      <c r="B124" s="33">
        <f t="shared" si="18"/>
        <v>105</v>
      </c>
      <c r="C124" s="143"/>
      <c r="D124" s="143"/>
      <c r="E124" s="48"/>
      <c r="F124" s="189" t="s">
        <v>437</v>
      </c>
      <c r="G124" s="325"/>
      <c r="H124" s="533">
        <f>H125</f>
        <v>600</v>
      </c>
      <c r="I124" s="533">
        <f t="shared" ref="I124" si="21">I125</f>
        <v>1130</v>
      </c>
      <c r="J124" s="931">
        <f t="shared" si="13"/>
        <v>188.33333333333334</v>
      </c>
    </row>
    <row r="125" spans="1:10" ht="13.5" customHeight="1" x14ac:dyDescent="0.2">
      <c r="B125" s="33">
        <f t="shared" si="18"/>
        <v>106</v>
      </c>
      <c r="C125" s="36" t="s">
        <v>46</v>
      </c>
      <c r="D125" s="36" t="s">
        <v>53</v>
      </c>
      <c r="E125" s="37" t="s">
        <v>28</v>
      </c>
      <c r="F125" s="49" t="s">
        <v>251</v>
      </c>
      <c r="G125" s="31"/>
      <c r="H125" s="584">
        <v>600</v>
      </c>
      <c r="I125" s="584">
        <v>1130</v>
      </c>
      <c r="J125" s="937">
        <f t="shared" si="13"/>
        <v>188.33333333333334</v>
      </c>
    </row>
    <row r="126" spans="1:10" x14ac:dyDescent="0.2">
      <c r="B126" s="33">
        <f t="shared" si="18"/>
        <v>107</v>
      </c>
      <c r="C126" s="8" t="s">
        <v>39</v>
      </c>
      <c r="D126" s="8"/>
      <c r="E126" s="10"/>
      <c r="F126" s="38" t="s">
        <v>40</v>
      </c>
      <c r="G126" s="39"/>
      <c r="H126" s="522">
        <f>H127</f>
        <v>8100</v>
      </c>
      <c r="I126" s="522">
        <f t="shared" ref="I126" si="22">I127</f>
        <v>5838</v>
      </c>
      <c r="J126" s="930">
        <f t="shared" si="13"/>
        <v>72.074074074074076</v>
      </c>
    </row>
    <row r="127" spans="1:10" ht="14.25" customHeight="1" x14ac:dyDescent="0.2">
      <c r="B127" s="33">
        <f t="shared" si="18"/>
        <v>108</v>
      </c>
      <c r="C127" s="47"/>
      <c r="D127" s="36" t="s">
        <v>41</v>
      </c>
      <c r="E127" s="11" t="s">
        <v>20</v>
      </c>
      <c r="F127" s="43" t="s">
        <v>76</v>
      </c>
      <c r="G127" s="39"/>
      <c r="H127" s="519">
        <v>8100</v>
      </c>
      <c r="I127" s="519">
        <v>5838</v>
      </c>
      <c r="J127" s="931">
        <f t="shared" si="13"/>
        <v>72.074074074074076</v>
      </c>
    </row>
    <row r="128" spans="1:10" x14ac:dyDescent="0.2">
      <c r="B128" s="33">
        <f t="shared" si="18"/>
        <v>109</v>
      </c>
      <c r="C128" s="8" t="s">
        <v>46</v>
      </c>
      <c r="D128" s="47"/>
      <c r="E128" s="48"/>
      <c r="F128" s="38" t="s">
        <v>47</v>
      </c>
      <c r="G128" s="39"/>
      <c r="H128" s="522">
        <f>H129+H145</f>
        <v>128700</v>
      </c>
      <c r="I128" s="522">
        <f t="shared" ref="I128" si="23">I129+I145</f>
        <v>124727</v>
      </c>
      <c r="J128" s="930">
        <f t="shared" si="13"/>
        <v>96.912975912975924</v>
      </c>
    </row>
    <row r="129" spans="2:10" ht="14.25" customHeight="1" x14ac:dyDescent="0.2">
      <c r="B129" s="33">
        <f t="shared" si="18"/>
        <v>110</v>
      </c>
      <c r="C129" s="47"/>
      <c r="D129" s="37" t="s">
        <v>53</v>
      </c>
      <c r="E129" s="37" t="s">
        <v>28</v>
      </c>
      <c r="F129" s="43" t="s">
        <v>77</v>
      </c>
      <c r="G129" s="39"/>
      <c r="H129" s="519">
        <f>SUM(H130:H144)</f>
        <v>128200</v>
      </c>
      <c r="I129" s="519">
        <f>SUM(I130:I144)</f>
        <v>124177</v>
      </c>
      <c r="J129" s="931">
        <f t="shared" si="13"/>
        <v>96.861934477379094</v>
      </c>
    </row>
    <row r="130" spans="2:10" ht="14.25" customHeight="1" x14ac:dyDescent="0.2">
      <c r="B130" s="33">
        <f t="shared" si="18"/>
        <v>111</v>
      </c>
      <c r="C130" s="47"/>
      <c r="D130" s="37"/>
      <c r="E130" s="37"/>
      <c r="F130" s="43"/>
      <c r="G130" s="317" t="s">
        <v>325</v>
      </c>
      <c r="H130" s="519">
        <v>7500</v>
      </c>
      <c r="I130" s="519">
        <v>6780</v>
      </c>
      <c r="J130" s="931">
        <f t="shared" si="13"/>
        <v>90.4</v>
      </c>
    </row>
    <row r="131" spans="2:10" ht="14.25" customHeight="1" x14ac:dyDescent="0.2">
      <c r="B131" s="33">
        <f t="shared" si="18"/>
        <v>112</v>
      </c>
      <c r="C131" s="47"/>
      <c r="D131" s="37"/>
      <c r="E131" s="37"/>
      <c r="F131" s="43"/>
      <c r="G131" s="317" t="s">
        <v>326</v>
      </c>
      <c r="H131" s="519">
        <v>8900</v>
      </c>
      <c r="I131" s="519">
        <v>8075</v>
      </c>
      <c r="J131" s="931">
        <f t="shared" si="13"/>
        <v>90.730337078651687</v>
      </c>
    </row>
    <row r="132" spans="2:10" ht="14.25" customHeight="1" x14ac:dyDescent="0.2">
      <c r="B132" s="33">
        <f t="shared" si="18"/>
        <v>113</v>
      </c>
      <c r="C132" s="47"/>
      <c r="D132" s="37"/>
      <c r="E132" s="37"/>
      <c r="F132" s="43"/>
      <c r="G132" s="317" t="s">
        <v>327</v>
      </c>
      <c r="H132" s="519">
        <v>6700</v>
      </c>
      <c r="I132" s="519">
        <v>6343</v>
      </c>
      <c r="J132" s="931">
        <f t="shared" si="13"/>
        <v>94.671641791044777</v>
      </c>
    </row>
    <row r="133" spans="2:10" ht="14.25" customHeight="1" x14ac:dyDescent="0.2">
      <c r="B133" s="33">
        <f t="shared" si="18"/>
        <v>114</v>
      </c>
      <c r="C133" s="47"/>
      <c r="D133" s="37"/>
      <c r="E133" s="37"/>
      <c r="F133" s="43"/>
      <c r="G133" s="317" t="s">
        <v>328</v>
      </c>
      <c r="H133" s="519">
        <v>10000</v>
      </c>
      <c r="I133" s="519">
        <v>9045</v>
      </c>
      <c r="J133" s="931">
        <f t="shared" si="13"/>
        <v>90.45</v>
      </c>
    </row>
    <row r="134" spans="2:10" ht="14.25" customHeight="1" x14ac:dyDescent="0.2">
      <c r="B134" s="33">
        <f t="shared" si="18"/>
        <v>115</v>
      </c>
      <c r="C134" s="47"/>
      <c r="D134" s="37"/>
      <c r="E134" s="37"/>
      <c r="F134" s="43"/>
      <c r="G134" s="317" t="s">
        <v>329</v>
      </c>
      <c r="H134" s="519">
        <v>8400</v>
      </c>
      <c r="I134" s="519">
        <v>7615</v>
      </c>
      <c r="J134" s="931">
        <f t="shared" si="13"/>
        <v>90.654761904761898</v>
      </c>
    </row>
    <row r="135" spans="2:10" ht="14.25" customHeight="1" x14ac:dyDescent="0.2">
      <c r="B135" s="33">
        <f t="shared" si="18"/>
        <v>116</v>
      </c>
      <c r="C135" s="47"/>
      <c r="D135" s="37"/>
      <c r="E135" s="37"/>
      <c r="F135" s="43"/>
      <c r="G135" s="317" t="s">
        <v>330</v>
      </c>
      <c r="H135" s="519">
        <v>14500</v>
      </c>
      <c r="I135" s="519">
        <v>12044</v>
      </c>
      <c r="J135" s="931">
        <f t="shared" si="13"/>
        <v>83.062068965517241</v>
      </c>
    </row>
    <row r="136" spans="2:10" ht="14.25" customHeight="1" x14ac:dyDescent="0.2">
      <c r="B136" s="33">
        <f t="shared" si="18"/>
        <v>117</v>
      </c>
      <c r="C136" s="47"/>
      <c r="D136" s="37"/>
      <c r="E136" s="37"/>
      <c r="F136" s="43"/>
      <c r="G136" s="317" t="s">
        <v>331</v>
      </c>
      <c r="H136" s="519">
        <v>14500</v>
      </c>
      <c r="I136" s="519">
        <v>13487</v>
      </c>
      <c r="J136" s="931">
        <f t="shared" ref="J136:J149" si="24">I136/H136*100</f>
        <v>93.013793103448279</v>
      </c>
    </row>
    <row r="137" spans="2:10" ht="14.25" customHeight="1" x14ac:dyDescent="0.2">
      <c r="B137" s="33">
        <f t="shared" si="18"/>
        <v>118</v>
      </c>
      <c r="C137" s="47"/>
      <c r="D137" s="37"/>
      <c r="E137" s="37"/>
      <c r="F137" s="43"/>
      <c r="G137" s="317" t="s">
        <v>332</v>
      </c>
      <c r="H137" s="519">
        <v>6000</v>
      </c>
      <c r="I137" s="519">
        <v>6642</v>
      </c>
      <c r="J137" s="931">
        <f t="shared" si="24"/>
        <v>110.7</v>
      </c>
    </row>
    <row r="138" spans="2:10" ht="14.25" customHeight="1" x14ac:dyDescent="0.2">
      <c r="B138" s="33">
        <f t="shared" si="18"/>
        <v>119</v>
      </c>
      <c r="C138" s="47"/>
      <c r="D138" s="37"/>
      <c r="E138" s="37"/>
      <c r="F138" s="43"/>
      <c r="G138" s="317" t="s">
        <v>333</v>
      </c>
      <c r="H138" s="519">
        <v>11500</v>
      </c>
      <c r="I138" s="519">
        <v>9356</v>
      </c>
      <c r="J138" s="931">
        <f t="shared" si="24"/>
        <v>81.356521739130443</v>
      </c>
    </row>
    <row r="139" spans="2:10" ht="14.25" customHeight="1" x14ac:dyDescent="0.2">
      <c r="B139" s="33">
        <f t="shared" si="18"/>
        <v>120</v>
      </c>
      <c r="C139" s="47"/>
      <c r="D139" s="37"/>
      <c r="E139" s="37"/>
      <c r="F139" s="43"/>
      <c r="G139" s="317" t="s">
        <v>334</v>
      </c>
      <c r="H139" s="519">
        <v>10500</v>
      </c>
      <c r="I139" s="519">
        <v>12612</v>
      </c>
      <c r="J139" s="931">
        <f t="shared" si="24"/>
        <v>120.1142857142857</v>
      </c>
    </row>
    <row r="140" spans="2:10" ht="14.25" customHeight="1" x14ac:dyDescent="0.2">
      <c r="B140" s="33">
        <f t="shared" si="18"/>
        <v>121</v>
      </c>
      <c r="C140" s="47"/>
      <c r="D140" s="37"/>
      <c r="E140" s="37"/>
      <c r="F140" s="43"/>
      <c r="G140" s="317" t="s">
        <v>335</v>
      </c>
      <c r="H140" s="519">
        <v>8600</v>
      </c>
      <c r="I140" s="519">
        <v>6920</v>
      </c>
      <c r="J140" s="931">
        <f t="shared" si="24"/>
        <v>80.465116279069775</v>
      </c>
    </row>
    <row r="141" spans="2:10" ht="14.25" customHeight="1" x14ac:dyDescent="0.2">
      <c r="B141" s="33">
        <f t="shared" si="18"/>
        <v>122</v>
      </c>
      <c r="C141" s="47"/>
      <c r="D141" s="37"/>
      <c r="E141" s="37"/>
      <c r="F141" s="43"/>
      <c r="G141" s="317" t="s">
        <v>336</v>
      </c>
      <c r="H141" s="519">
        <v>3700</v>
      </c>
      <c r="I141" s="519">
        <v>4168</v>
      </c>
      <c r="J141" s="931">
        <f t="shared" si="24"/>
        <v>112.64864864864865</v>
      </c>
    </row>
    <row r="142" spans="2:10" ht="14.25" customHeight="1" x14ac:dyDescent="0.2">
      <c r="B142" s="57">
        <f t="shared" ref="B142:B149" si="25">B141+1</f>
        <v>123</v>
      </c>
      <c r="C142" s="47"/>
      <c r="D142" s="37"/>
      <c r="E142" s="37"/>
      <c r="F142" s="43"/>
      <c r="G142" s="317" t="s">
        <v>337</v>
      </c>
      <c r="H142" s="519">
        <v>4200</v>
      </c>
      <c r="I142" s="519">
        <v>4045</v>
      </c>
      <c r="J142" s="931">
        <f t="shared" si="24"/>
        <v>96.30952380952381</v>
      </c>
    </row>
    <row r="143" spans="2:10" ht="14.25" customHeight="1" x14ac:dyDescent="0.2">
      <c r="B143" s="57">
        <f t="shared" si="25"/>
        <v>124</v>
      </c>
      <c r="C143" s="47"/>
      <c r="D143" s="37"/>
      <c r="E143" s="37"/>
      <c r="F143" s="43"/>
      <c r="G143" s="317" t="s">
        <v>338</v>
      </c>
      <c r="H143" s="519">
        <v>3500</v>
      </c>
      <c r="I143" s="519">
        <v>3463</v>
      </c>
      <c r="J143" s="931">
        <f t="shared" si="24"/>
        <v>98.94285714285715</v>
      </c>
    </row>
    <row r="144" spans="2:10" ht="14.25" customHeight="1" x14ac:dyDescent="0.2">
      <c r="B144" s="57">
        <f t="shared" si="25"/>
        <v>125</v>
      </c>
      <c r="C144" s="47"/>
      <c r="D144" s="37"/>
      <c r="E144" s="37"/>
      <c r="F144" s="43"/>
      <c r="G144" s="317" t="s">
        <v>339</v>
      </c>
      <c r="H144" s="519">
        <v>9700</v>
      </c>
      <c r="I144" s="519">
        <v>13582</v>
      </c>
      <c r="J144" s="931">
        <f t="shared" si="24"/>
        <v>140.02061855670104</v>
      </c>
    </row>
    <row r="145" spans="1:10" ht="14.25" customHeight="1" x14ac:dyDescent="0.2">
      <c r="B145" s="57">
        <f t="shared" si="25"/>
        <v>126</v>
      </c>
      <c r="C145" s="47"/>
      <c r="D145" s="37" t="s">
        <v>53</v>
      </c>
      <c r="E145" s="37" t="s">
        <v>28</v>
      </c>
      <c r="F145" s="43" t="s">
        <v>122</v>
      </c>
      <c r="G145" s="39"/>
      <c r="H145" s="519">
        <v>500</v>
      </c>
      <c r="I145" s="519">
        <v>550</v>
      </c>
      <c r="J145" s="931">
        <f t="shared" si="24"/>
        <v>110.00000000000001</v>
      </c>
    </row>
    <row r="146" spans="1:10" ht="14.25" customHeight="1" x14ac:dyDescent="0.2">
      <c r="B146" s="57">
        <f t="shared" si="25"/>
        <v>127</v>
      </c>
      <c r="C146" s="51"/>
      <c r="D146" s="370"/>
      <c r="E146" s="370"/>
      <c r="F146" s="50" t="s">
        <v>64</v>
      </c>
      <c r="G146" s="320"/>
      <c r="H146" s="583">
        <v>7585</v>
      </c>
      <c r="I146" s="583">
        <f>3733-549</f>
        <v>3184</v>
      </c>
      <c r="J146" s="936">
        <f t="shared" si="24"/>
        <v>41.977587343441002</v>
      </c>
    </row>
    <row r="147" spans="1:10" ht="14.25" customHeight="1" x14ac:dyDescent="0.2">
      <c r="B147" s="839">
        <f t="shared" si="25"/>
        <v>128</v>
      </c>
      <c r="C147" s="53" t="s">
        <v>57</v>
      </c>
      <c r="D147" s="840" t="s">
        <v>118</v>
      </c>
      <c r="E147" s="54"/>
      <c r="F147" s="841" t="s">
        <v>58</v>
      </c>
      <c r="G147" s="847"/>
      <c r="H147" s="845">
        <v>15</v>
      </c>
      <c r="I147" s="845">
        <v>12</v>
      </c>
      <c r="J147" s="944">
        <f t="shared" si="24"/>
        <v>80</v>
      </c>
    </row>
    <row r="148" spans="1:10" ht="14.25" customHeight="1" x14ac:dyDescent="0.2">
      <c r="B148" s="839">
        <f t="shared" si="25"/>
        <v>129</v>
      </c>
      <c r="C148" s="53"/>
      <c r="D148" s="840"/>
      <c r="E148" s="54"/>
      <c r="F148" s="1110"/>
      <c r="G148" s="1111"/>
      <c r="H148" s="845"/>
      <c r="I148" s="845"/>
      <c r="J148" s="944"/>
    </row>
    <row r="149" spans="1:10" ht="14.25" customHeight="1" thickBot="1" x14ac:dyDescent="0.25">
      <c r="B149" s="1180">
        <f t="shared" si="25"/>
        <v>130</v>
      </c>
      <c r="C149" s="1179" t="s">
        <v>59</v>
      </c>
      <c r="D149" s="842" t="s">
        <v>61</v>
      </c>
      <c r="E149" s="843"/>
      <c r="F149" s="844" t="s">
        <v>877</v>
      </c>
      <c r="G149" s="848"/>
      <c r="H149" s="846">
        <v>792</v>
      </c>
      <c r="I149" s="846">
        <v>792</v>
      </c>
      <c r="J149" s="945">
        <f t="shared" si="24"/>
        <v>100</v>
      </c>
    </row>
    <row r="150" spans="1:10" s="19" customFormat="1" ht="12.75" customHeight="1" x14ac:dyDescent="0.2">
      <c r="A150" s="241"/>
      <c r="B150" s="250"/>
      <c r="C150" s="255"/>
      <c r="D150" s="256"/>
      <c r="E150" s="257"/>
      <c r="F150" s="258"/>
      <c r="G150" s="259"/>
      <c r="H150" s="254"/>
      <c r="I150" s="254"/>
      <c r="J150" s="855"/>
    </row>
    <row r="151" spans="1:10" s="19" customFormat="1" ht="12.75" customHeight="1" thickBot="1" x14ac:dyDescent="0.25">
      <c r="A151" s="241"/>
      <c r="B151" s="250"/>
      <c r="C151" s="255"/>
      <c r="D151" s="256"/>
      <c r="E151" s="257"/>
      <c r="F151" s="258"/>
      <c r="G151" s="259"/>
      <c r="H151" s="254"/>
      <c r="I151" s="254"/>
      <c r="J151" s="855"/>
    </row>
    <row r="152" spans="1:10" ht="12.75" customHeight="1" x14ac:dyDescent="0.2">
      <c r="B152" s="1106" t="s">
        <v>9</v>
      </c>
      <c r="C152" s="1107"/>
      <c r="D152" s="1107"/>
      <c r="E152" s="1107"/>
      <c r="F152" s="1107"/>
      <c r="G152" s="1107"/>
      <c r="H152" s="1101" t="s">
        <v>722</v>
      </c>
      <c r="I152" s="1101" t="s">
        <v>886</v>
      </c>
      <c r="J152" s="1112"/>
    </row>
    <row r="153" spans="1:10" ht="12.75" customHeight="1" x14ac:dyDescent="0.2">
      <c r="B153" s="1108"/>
      <c r="C153" s="1109"/>
      <c r="D153" s="1109"/>
      <c r="E153" s="1109"/>
      <c r="F153" s="1109"/>
      <c r="G153" s="1109"/>
      <c r="H153" s="1102"/>
      <c r="I153" s="1102"/>
      <c r="J153" s="1113"/>
    </row>
    <row r="154" spans="1:10" ht="16.5" customHeight="1" x14ac:dyDescent="0.2">
      <c r="B154" s="77"/>
      <c r="C154" s="1104" t="s">
        <v>10</v>
      </c>
      <c r="D154" s="78" t="s">
        <v>11</v>
      </c>
      <c r="E154" s="78" t="s">
        <v>12</v>
      </c>
      <c r="F154" s="79"/>
      <c r="G154" s="79"/>
      <c r="H154" s="1102"/>
      <c r="I154" s="1102"/>
      <c r="J154" s="1113"/>
    </row>
    <row r="155" spans="1:10" ht="19.5" customHeight="1" thickBot="1" x14ac:dyDescent="0.25">
      <c r="B155" s="81"/>
      <c r="C155" s="1105"/>
      <c r="D155" s="83"/>
      <c r="E155" s="82" t="s">
        <v>13</v>
      </c>
      <c r="F155" s="84" t="s">
        <v>14</v>
      </c>
      <c r="G155" s="311"/>
      <c r="H155" s="1103"/>
      <c r="I155" s="1103"/>
      <c r="J155" s="1114"/>
    </row>
    <row r="156" spans="1:10" ht="12.75" customHeight="1" thickTop="1" x14ac:dyDescent="0.2">
      <c r="B156" s="57">
        <f>B147+1</f>
        <v>129</v>
      </c>
      <c r="C156" s="8"/>
      <c r="D156" s="14"/>
      <c r="E156" s="70"/>
      <c r="F156" s="190" t="s">
        <v>120</v>
      </c>
      <c r="G156" s="315"/>
      <c r="H156" s="604"/>
      <c r="I156" s="604"/>
      <c r="J156" s="856"/>
    </row>
    <row r="157" spans="1:10" ht="13.5" customHeight="1" x14ac:dyDescent="0.2">
      <c r="B157" s="57">
        <f t="shared" ref="B157:B276" si="26">B156+1</f>
        <v>130</v>
      </c>
      <c r="C157" s="8"/>
      <c r="D157" s="14"/>
      <c r="E157" s="70"/>
      <c r="F157" s="113" t="s">
        <v>121</v>
      </c>
      <c r="G157" s="316"/>
      <c r="H157" s="602">
        <f>H158+H169+H182+H204+H221</f>
        <v>276971</v>
      </c>
      <c r="I157" s="602">
        <f>I158+I169+I182+I204+I221+I194</f>
        <v>284175</v>
      </c>
      <c r="J157" s="942">
        <f t="shared" ref="J157:J219" si="27">I157/H157*100</f>
        <v>102.60099432792602</v>
      </c>
    </row>
    <row r="158" spans="1:10" x14ac:dyDescent="0.2">
      <c r="B158" s="57">
        <f t="shared" si="26"/>
        <v>131</v>
      </c>
      <c r="C158" s="8" t="s">
        <v>39</v>
      </c>
      <c r="D158" s="8"/>
      <c r="E158" s="10"/>
      <c r="F158" s="38" t="s">
        <v>40</v>
      </c>
      <c r="G158" s="39"/>
      <c r="H158" s="522">
        <f>H159</f>
        <v>92325</v>
      </c>
      <c r="I158" s="522">
        <f t="shared" ref="I158" si="28">I159</f>
        <v>82046</v>
      </c>
      <c r="J158" s="930">
        <f t="shared" si="27"/>
        <v>88.8665041971297</v>
      </c>
    </row>
    <row r="159" spans="1:10" x14ac:dyDescent="0.2">
      <c r="B159" s="57">
        <f t="shared" si="26"/>
        <v>132</v>
      </c>
      <c r="C159" s="47"/>
      <c r="D159" s="36" t="s">
        <v>41</v>
      </c>
      <c r="E159" s="44" t="s">
        <v>20</v>
      </c>
      <c r="F159" s="43" t="s">
        <v>76</v>
      </c>
      <c r="G159" s="39"/>
      <c r="H159" s="519">
        <f>SUM(H160:H167)</f>
        <v>92325</v>
      </c>
      <c r="I159" s="519">
        <f t="shared" ref="I159" si="29">SUM(I160:I167)</f>
        <v>82046</v>
      </c>
      <c r="J159" s="931">
        <f t="shared" si="27"/>
        <v>88.8665041971297</v>
      </c>
    </row>
    <row r="160" spans="1:10" x14ac:dyDescent="0.2">
      <c r="B160" s="57">
        <f t="shared" si="26"/>
        <v>133</v>
      </c>
      <c r="C160" s="47"/>
      <c r="D160" s="36"/>
      <c r="E160" s="44"/>
      <c r="F160" s="43"/>
      <c r="G160" s="317" t="s">
        <v>459</v>
      </c>
      <c r="H160" s="519">
        <v>40000</v>
      </c>
      <c r="I160" s="519">
        <v>38634</v>
      </c>
      <c r="J160" s="931">
        <f t="shared" si="27"/>
        <v>96.584999999999994</v>
      </c>
    </row>
    <row r="161" spans="2:10" x14ac:dyDescent="0.2">
      <c r="B161" s="57">
        <f t="shared" si="26"/>
        <v>134</v>
      </c>
      <c r="C161" s="47"/>
      <c r="D161" s="36"/>
      <c r="E161" s="44"/>
      <c r="F161" s="43"/>
      <c r="G161" s="317" t="s">
        <v>460</v>
      </c>
      <c r="H161" s="519">
        <v>2000</v>
      </c>
      <c r="I161" s="519">
        <v>2023</v>
      </c>
      <c r="J161" s="931">
        <f t="shared" si="27"/>
        <v>101.15</v>
      </c>
    </row>
    <row r="162" spans="2:10" x14ac:dyDescent="0.2">
      <c r="B162" s="57">
        <f t="shared" si="26"/>
        <v>135</v>
      </c>
      <c r="C162" s="47"/>
      <c r="D162" s="36"/>
      <c r="E162" s="44"/>
      <c r="F162" s="43"/>
      <c r="G162" s="317" t="s">
        <v>461</v>
      </c>
      <c r="H162" s="519">
        <v>3000</v>
      </c>
      <c r="I162" s="519">
        <v>4210</v>
      </c>
      <c r="J162" s="931">
        <f t="shared" si="27"/>
        <v>140.33333333333334</v>
      </c>
    </row>
    <row r="163" spans="2:10" x14ac:dyDescent="0.2">
      <c r="B163" s="57">
        <f t="shared" si="26"/>
        <v>136</v>
      </c>
      <c r="C163" s="47"/>
      <c r="D163" s="36"/>
      <c r="E163" s="44"/>
      <c r="F163" s="43"/>
      <c r="G163" s="317" t="s">
        <v>462</v>
      </c>
      <c r="H163" s="519">
        <f>2400+3000</f>
        <v>5400</v>
      </c>
      <c r="I163" s="519">
        <v>5225</v>
      </c>
      <c r="J163" s="931">
        <f t="shared" si="27"/>
        <v>96.759259259259252</v>
      </c>
    </row>
    <row r="164" spans="2:10" x14ac:dyDescent="0.2">
      <c r="B164" s="57">
        <f t="shared" si="26"/>
        <v>137</v>
      </c>
      <c r="C164" s="47"/>
      <c r="D164" s="36"/>
      <c r="E164" s="44"/>
      <c r="F164" s="43"/>
      <c r="G164" s="317" t="s">
        <v>463</v>
      </c>
      <c r="H164" s="519">
        <v>1500</v>
      </c>
      <c r="I164" s="519">
        <v>1529</v>
      </c>
      <c r="J164" s="931">
        <f t="shared" si="27"/>
        <v>101.93333333333334</v>
      </c>
    </row>
    <row r="165" spans="2:10" x14ac:dyDescent="0.2">
      <c r="B165" s="57">
        <f t="shared" si="26"/>
        <v>138</v>
      </c>
      <c r="C165" s="47"/>
      <c r="D165" s="36"/>
      <c r="E165" s="44"/>
      <c r="F165" s="43"/>
      <c r="G165" s="317" t="s">
        <v>464</v>
      </c>
      <c r="H165" s="519">
        <f>6000+129</f>
        <v>6129</v>
      </c>
      <c r="I165" s="519">
        <v>6129</v>
      </c>
      <c r="J165" s="931">
        <f t="shared" si="27"/>
        <v>100</v>
      </c>
    </row>
    <row r="166" spans="2:10" x14ac:dyDescent="0.2">
      <c r="B166" s="57">
        <f t="shared" si="26"/>
        <v>139</v>
      </c>
      <c r="C166" s="47"/>
      <c r="D166" s="36"/>
      <c r="E166" s="44"/>
      <c r="F166" s="43"/>
      <c r="G166" s="317" t="s">
        <v>465</v>
      </c>
      <c r="H166" s="519">
        <f>15000+242</f>
        <v>15242</v>
      </c>
      <c r="I166" s="519">
        <v>5242</v>
      </c>
      <c r="J166" s="931">
        <f t="shared" si="27"/>
        <v>34.391812098149849</v>
      </c>
    </row>
    <row r="167" spans="2:10" x14ac:dyDescent="0.2">
      <c r="B167" s="57">
        <f t="shared" si="26"/>
        <v>140</v>
      </c>
      <c r="C167" s="47"/>
      <c r="D167" s="36"/>
      <c r="E167" s="44"/>
      <c r="F167" s="43"/>
      <c r="G167" s="317" t="s">
        <v>466</v>
      </c>
      <c r="H167" s="519">
        <f>16100+2954</f>
        <v>19054</v>
      </c>
      <c r="I167" s="519">
        <v>19054</v>
      </c>
      <c r="J167" s="931">
        <f t="shared" si="27"/>
        <v>100</v>
      </c>
    </row>
    <row r="168" spans="2:10" x14ac:dyDescent="0.2">
      <c r="B168" s="57">
        <f t="shared" si="26"/>
        <v>141</v>
      </c>
      <c r="C168" s="47"/>
      <c r="D168" s="36"/>
      <c r="E168" s="44"/>
      <c r="F168" s="43"/>
      <c r="G168" s="317"/>
      <c r="H168" s="519"/>
      <c r="I168" s="519"/>
      <c r="J168" s="931"/>
    </row>
    <row r="169" spans="2:10" x14ac:dyDescent="0.2">
      <c r="B169" s="57">
        <f t="shared" si="26"/>
        <v>142</v>
      </c>
      <c r="C169" s="8" t="s">
        <v>46</v>
      </c>
      <c r="D169" s="47"/>
      <c r="E169" s="48"/>
      <c r="F169" s="38" t="s">
        <v>47</v>
      </c>
      <c r="G169" s="39"/>
      <c r="H169" s="522">
        <f>H170</f>
        <v>80609</v>
      </c>
      <c r="I169" s="522">
        <f>I170+I179</f>
        <v>97369</v>
      </c>
      <c r="J169" s="930">
        <f t="shared" si="27"/>
        <v>120.79172300859706</v>
      </c>
    </row>
    <row r="170" spans="2:10" x14ac:dyDescent="0.2">
      <c r="B170" s="57">
        <f t="shared" si="26"/>
        <v>143</v>
      </c>
      <c r="C170" s="47"/>
      <c r="D170" s="37" t="s">
        <v>53</v>
      </c>
      <c r="E170" s="37" t="s">
        <v>28</v>
      </c>
      <c r="F170" s="165" t="s">
        <v>78</v>
      </c>
      <c r="G170" s="39"/>
      <c r="H170" s="519">
        <f>SUM(H171:H178)</f>
        <v>80609</v>
      </c>
      <c r="I170" s="519">
        <f t="shared" ref="I170" si="30">SUM(I171:I178)</f>
        <v>88381</v>
      </c>
      <c r="J170" s="931">
        <f t="shared" si="27"/>
        <v>109.64160329491743</v>
      </c>
    </row>
    <row r="171" spans="2:10" x14ac:dyDescent="0.2">
      <c r="B171" s="57">
        <f t="shared" si="26"/>
        <v>144</v>
      </c>
      <c r="C171" s="47"/>
      <c r="D171" s="37"/>
      <c r="E171" s="37"/>
      <c r="F171" s="43"/>
      <c r="G171" s="317" t="s">
        <v>459</v>
      </c>
      <c r="H171" s="519">
        <v>10300</v>
      </c>
      <c r="I171" s="519">
        <v>13178</v>
      </c>
      <c r="J171" s="931">
        <f t="shared" si="27"/>
        <v>127.94174757281553</v>
      </c>
    </row>
    <row r="172" spans="2:10" x14ac:dyDescent="0.2">
      <c r="B172" s="57">
        <f t="shared" si="26"/>
        <v>145</v>
      </c>
      <c r="C172" s="47"/>
      <c r="D172" s="37"/>
      <c r="E172" s="37"/>
      <c r="F172" s="43"/>
      <c r="G172" s="317" t="s">
        <v>460</v>
      </c>
      <c r="H172" s="519">
        <f>11000+3409</f>
        <v>14409</v>
      </c>
      <c r="I172" s="519">
        <v>15152</v>
      </c>
      <c r="J172" s="931">
        <f t="shared" si="27"/>
        <v>105.1564994100909</v>
      </c>
    </row>
    <row r="173" spans="2:10" x14ac:dyDescent="0.2">
      <c r="B173" s="57">
        <f t="shared" si="26"/>
        <v>146</v>
      </c>
      <c r="C173" s="47"/>
      <c r="D173" s="37"/>
      <c r="E173" s="37"/>
      <c r="F173" s="43"/>
      <c r="G173" s="318" t="s">
        <v>461</v>
      </c>
      <c r="H173" s="519">
        <v>8100</v>
      </c>
      <c r="I173" s="519">
        <v>10460</v>
      </c>
      <c r="J173" s="931">
        <f t="shared" si="27"/>
        <v>129.1358024691358</v>
      </c>
    </row>
    <row r="174" spans="2:10" ht="12.75" customHeight="1" x14ac:dyDescent="0.2">
      <c r="B174" s="57">
        <f t="shared" si="26"/>
        <v>147</v>
      </c>
      <c r="C174" s="47"/>
      <c r="D174" s="37"/>
      <c r="E174" s="37"/>
      <c r="F174" s="43"/>
      <c r="G174" s="318" t="s">
        <v>462</v>
      </c>
      <c r="H174" s="519">
        <v>6500</v>
      </c>
      <c r="I174" s="519">
        <v>6651</v>
      </c>
      <c r="J174" s="931">
        <f t="shared" si="27"/>
        <v>102.32307692307691</v>
      </c>
    </row>
    <row r="175" spans="2:10" ht="12.75" customHeight="1" x14ac:dyDescent="0.2">
      <c r="B175" s="57">
        <f t="shared" si="26"/>
        <v>148</v>
      </c>
      <c r="C175" s="47"/>
      <c r="D175" s="37"/>
      <c r="E175" s="37"/>
      <c r="F175" s="43"/>
      <c r="G175" s="318" t="s">
        <v>463</v>
      </c>
      <c r="H175" s="519">
        <v>12000</v>
      </c>
      <c r="I175" s="519">
        <v>12295</v>
      </c>
      <c r="J175" s="931">
        <f t="shared" si="27"/>
        <v>102.45833333333334</v>
      </c>
    </row>
    <row r="176" spans="2:10" ht="12.75" customHeight="1" x14ac:dyDescent="0.2">
      <c r="B176" s="57">
        <f t="shared" si="26"/>
        <v>149</v>
      </c>
      <c r="C176" s="47"/>
      <c r="D176" s="37"/>
      <c r="E176" s="37"/>
      <c r="F176" s="43"/>
      <c r="G176" s="318" t="s">
        <v>464</v>
      </c>
      <c r="H176" s="519">
        <v>4400</v>
      </c>
      <c r="I176" s="519">
        <v>4502</v>
      </c>
      <c r="J176" s="931">
        <f t="shared" si="27"/>
        <v>102.31818181818181</v>
      </c>
    </row>
    <row r="177" spans="2:10" ht="12.75" customHeight="1" x14ac:dyDescent="0.2">
      <c r="B177" s="57">
        <f t="shared" si="26"/>
        <v>150</v>
      </c>
      <c r="C177" s="47"/>
      <c r="D177" s="37"/>
      <c r="E177" s="37"/>
      <c r="F177" s="43"/>
      <c r="G177" s="317" t="s">
        <v>465</v>
      </c>
      <c r="H177" s="519">
        <v>4900</v>
      </c>
      <c r="I177" s="519">
        <v>5026</v>
      </c>
      <c r="J177" s="931">
        <f t="shared" si="27"/>
        <v>102.57142857142858</v>
      </c>
    </row>
    <row r="178" spans="2:10" ht="12.75" customHeight="1" x14ac:dyDescent="0.2">
      <c r="B178" s="57">
        <f t="shared" si="26"/>
        <v>151</v>
      </c>
      <c r="C178" s="47"/>
      <c r="D178" s="37"/>
      <c r="E178" s="37"/>
      <c r="F178" s="43"/>
      <c r="G178" s="317" t="s">
        <v>466</v>
      </c>
      <c r="H178" s="519">
        <v>20000</v>
      </c>
      <c r="I178" s="519">
        <v>21117</v>
      </c>
      <c r="J178" s="931">
        <f t="shared" si="27"/>
        <v>105.58499999999999</v>
      </c>
    </row>
    <row r="179" spans="2:10" ht="12.75" customHeight="1" x14ac:dyDescent="0.2">
      <c r="B179" s="57">
        <f t="shared" si="26"/>
        <v>152</v>
      </c>
      <c r="C179" s="47"/>
      <c r="D179" s="37" t="s">
        <v>53</v>
      </c>
      <c r="E179" s="37" t="s">
        <v>20</v>
      </c>
      <c r="F179" s="165" t="s">
        <v>909</v>
      </c>
      <c r="G179" s="317"/>
      <c r="H179" s="519"/>
      <c r="I179" s="519">
        <f>I180</f>
        <v>8988</v>
      </c>
      <c r="J179" s="931"/>
    </row>
    <row r="180" spans="2:10" ht="12.75" customHeight="1" x14ac:dyDescent="0.2">
      <c r="B180" s="57">
        <f t="shared" si="26"/>
        <v>153</v>
      </c>
      <c r="C180" s="47"/>
      <c r="D180" s="37"/>
      <c r="E180" s="37"/>
      <c r="F180" s="43"/>
      <c r="G180" s="317" t="s">
        <v>460</v>
      </c>
      <c r="H180" s="519"/>
      <c r="I180" s="519">
        <v>8988</v>
      </c>
      <c r="J180" s="931"/>
    </row>
    <row r="181" spans="2:10" x14ac:dyDescent="0.2">
      <c r="B181" s="57">
        <f t="shared" si="26"/>
        <v>154</v>
      </c>
      <c r="C181" s="47"/>
      <c r="D181" s="37"/>
      <c r="E181" s="37"/>
      <c r="F181" s="39"/>
      <c r="G181" s="317"/>
      <c r="H181" s="519"/>
      <c r="I181" s="519"/>
      <c r="J181" s="931"/>
    </row>
    <row r="182" spans="2:10" x14ac:dyDescent="0.2">
      <c r="B182" s="57">
        <f t="shared" si="26"/>
        <v>155</v>
      </c>
      <c r="C182" s="53" t="s">
        <v>57</v>
      </c>
      <c r="D182" s="52"/>
      <c r="E182" s="54"/>
      <c r="F182" s="55" t="s">
        <v>58</v>
      </c>
      <c r="G182" s="330"/>
      <c r="H182" s="533">
        <f>H183</f>
        <v>30</v>
      </c>
      <c r="I182" s="533">
        <f t="shared" ref="I182" si="31">I183</f>
        <v>22</v>
      </c>
      <c r="J182" s="931">
        <f t="shared" si="27"/>
        <v>73.333333333333329</v>
      </c>
    </row>
    <row r="183" spans="2:10" x14ac:dyDescent="0.2">
      <c r="B183" s="57">
        <f t="shared" si="26"/>
        <v>156</v>
      </c>
      <c r="C183" s="47"/>
      <c r="D183" s="37" t="s">
        <v>503</v>
      </c>
      <c r="E183" s="37"/>
      <c r="F183" s="164" t="s">
        <v>504</v>
      </c>
      <c r="G183" s="317"/>
      <c r="H183" s="519">
        <f>SUM(H184:H191)</f>
        <v>30</v>
      </c>
      <c r="I183" s="519">
        <f>SUM(I184:I192)</f>
        <v>22</v>
      </c>
      <c r="J183" s="931">
        <f t="shared" si="27"/>
        <v>73.333333333333329</v>
      </c>
    </row>
    <row r="184" spans="2:10" x14ac:dyDescent="0.2">
      <c r="B184" s="57">
        <f t="shared" si="26"/>
        <v>157</v>
      </c>
      <c r="C184" s="47"/>
      <c r="D184" s="37"/>
      <c r="E184" s="37"/>
      <c r="F184" s="39"/>
      <c r="G184" s="317" t="s">
        <v>459</v>
      </c>
      <c r="H184" s="519">
        <v>5</v>
      </c>
      <c r="I184" s="519">
        <v>3</v>
      </c>
      <c r="J184" s="931">
        <f t="shared" si="27"/>
        <v>60</v>
      </c>
    </row>
    <row r="185" spans="2:10" x14ac:dyDescent="0.2">
      <c r="B185" s="57">
        <f t="shared" si="26"/>
        <v>158</v>
      </c>
      <c r="C185" s="47"/>
      <c r="D185" s="37"/>
      <c r="E185" s="37"/>
      <c r="F185" s="39"/>
      <c r="G185" s="317" t="s">
        <v>460</v>
      </c>
      <c r="H185" s="519">
        <v>2</v>
      </c>
      <c r="I185" s="519">
        <v>5</v>
      </c>
      <c r="J185" s="931">
        <f t="shared" si="27"/>
        <v>250</v>
      </c>
    </row>
    <row r="186" spans="2:10" x14ac:dyDescent="0.2">
      <c r="B186" s="57">
        <f t="shared" si="26"/>
        <v>159</v>
      </c>
      <c r="C186" s="47"/>
      <c r="D186" s="37"/>
      <c r="E186" s="37"/>
      <c r="F186" s="39"/>
      <c r="G186" s="317" t="s">
        <v>461</v>
      </c>
      <c r="H186" s="519">
        <v>5</v>
      </c>
      <c r="I186" s="519">
        <v>2</v>
      </c>
      <c r="J186" s="931">
        <f t="shared" si="27"/>
        <v>40</v>
      </c>
    </row>
    <row r="187" spans="2:10" x14ac:dyDescent="0.2">
      <c r="B187" s="57">
        <f t="shared" si="26"/>
        <v>160</v>
      </c>
      <c r="C187" s="47"/>
      <c r="D187" s="37"/>
      <c r="E187" s="37"/>
      <c r="F187" s="39"/>
      <c r="G187" s="317" t="s">
        <v>462</v>
      </c>
      <c r="H187" s="519">
        <v>3</v>
      </c>
      <c r="I187" s="519">
        <v>2</v>
      </c>
      <c r="J187" s="931">
        <f t="shared" si="27"/>
        <v>66.666666666666657</v>
      </c>
    </row>
    <row r="188" spans="2:10" x14ac:dyDescent="0.2">
      <c r="B188" s="57">
        <f t="shared" si="26"/>
        <v>161</v>
      </c>
      <c r="C188" s="47"/>
      <c r="D188" s="37"/>
      <c r="E188" s="37"/>
      <c r="F188" s="39"/>
      <c r="G188" s="317" t="s">
        <v>464</v>
      </c>
      <c r="H188" s="519">
        <v>2</v>
      </c>
      <c r="I188" s="519">
        <v>2</v>
      </c>
      <c r="J188" s="931">
        <f t="shared" si="27"/>
        <v>100</v>
      </c>
    </row>
    <row r="189" spans="2:10" x14ac:dyDescent="0.2">
      <c r="B189" s="57">
        <f t="shared" si="26"/>
        <v>162</v>
      </c>
      <c r="C189" s="47"/>
      <c r="D189" s="37"/>
      <c r="E189" s="37"/>
      <c r="F189" s="39"/>
      <c r="G189" s="317" t="s">
        <v>463</v>
      </c>
      <c r="H189" s="519">
        <v>2</v>
      </c>
      <c r="I189" s="519">
        <v>2</v>
      </c>
      <c r="J189" s="931">
        <f t="shared" si="27"/>
        <v>100</v>
      </c>
    </row>
    <row r="190" spans="2:10" x14ac:dyDescent="0.2">
      <c r="B190" s="57">
        <f t="shared" si="26"/>
        <v>163</v>
      </c>
      <c r="C190" s="47"/>
      <c r="D190" s="37"/>
      <c r="E190" s="37"/>
      <c r="F190" s="39"/>
      <c r="G190" s="317" t="s">
        <v>465</v>
      </c>
      <c r="H190" s="519">
        <v>5</v>
      </c>
      <c r="I190" s="519"/>
      <c r="J190" s="931">
        <f t="shared" si="27"/>
        <v>0</v>
      </c>
    </row>
    <row r="191" spans="2:10" x14ac:dyDescent="0.2">
      <c r="B191" s="57">
        <f t="shared" si="26"/>
        <v>164</v>
      </c>
      <c r="C191" s="47"/>
      <c r="D191" s="37"/>
      <c r="E191" s="37"/>
      <c r="F191" s="39"/>
      <c r="G191" s="317" t="s">
        <v>466</v>
      </c>
      <c r="H191" s="519">
        <v>6</v>
      </c>
      <c r="I191" s="519">
        <v>3</v>
      </c>
      <c r="J191" s="931">
        <f t="shared" si="27"/>
        <v>50</v>
      </c>
    </row>
    <row r="192" spans="2:10" x14ac:dyDescent="0.2">
      <c r="B192" s="57">
        <f t="shared" si="26"/>
        <v>165</v>
      </c>
      <c r="C192" s="47"/>
      <c r="D192" s="37"/>
      <c r="E192" s="37"/>
      <c r="F192" s="39"/>
      <c r="G192" s="317" t="s">
        <v>465</v>
      </c>
      <c r="H192" s="519"/>
      <c r="I192" s="519">
        <v>3</v>
      </c>
      <c r="J192" s="931"/>
    </row>
    <row r="193" spans="2:10" x14ac:dyDescent="0.2">
      <c r="B193" s="57">
        <f t="shared" si="26"/>
        <v>166</v>
      </c>
      <c r="C193" s="47"/>
      <c r="D193" s="37"/>
      <c r="E193" s="37"/>
      <c r="F193" s="39"/>
      <c r="G193" s="317"/>
      <c r="H193" s="519"/>
      <c r="I193" s="519"/>
      <c r="J193" s="931"/>
    </row>
    <row r="194" spans="2:10" x14ac:dyDescent="0.2">
      <c r="B194" s="57">
        <f t="shared" si="26"/>
        <v>167</v>
      </c>
      <c r="C194" s="53" t="s">
        <v>59</v>
      </c>
      <c r="D194" s="52"/>
      <c r="E194" s="54"/>
      <c r="F194" s="55" t="s">
        <v>60</v>
      </c>
      <c r="G194" s="320"/>
      <c r="H194" s="519"/>
      <c r="I194" s="522">
        <f>I195</f>
        <v>22181</v>
      </c>
      <c r="J194" s="931"/>
    </row>
    <row r="195" spans="2:10" x14ac:dyDescent="0.2">
      <c r="B195" s="57">
        <f t="shared" si="26"/>
        <v>168</v>
      </c>
      <c r="C195" s="47"/>
      <c r="D195" s="37" t="s">
        <v>61</v>
      </c>
      <c r="E195" s="37" t="s">
        <v>34</v>
      </c>
      <c r="F195" s="39" t="s">
        <v>851</v>
      </c>
      <c r="G195" s="317"/>
      <c r="H195" s="519"/>
      <c r="I195" s="519">
        <f>SUM(I196:I202)</f>
        <v>22181</v>
      </c>
      <c r="J195" s="931"/>
    </row>
    <row r="196" spans="2:10" x14ac:dyDescent="0.2">
      <c r="B196" s="57">
        <f t="shared" si="26"/>
        <v>169</v>
      </c>
      <c r="C196" s="47"/>
      <c r="D196" s="37"/>
      <c r="E196" s="37"/>
      <c r="F196" s="317"/>
      <c r="G196" s="317" t="s">
        <v>461</v>
      </c>
      <c r="H196" s="519"/>
      <c r="I196" s="519">
        <v>942</v>
      </c>
      <c r="J196" s="931"/>
    </row>
    <row r="197" spans="2:10" x14ac:dyDescent="0.2">
      <c r="B197" s="57">
        <f t="shared" si="26"/>
        <v>170</v>
      </c>
      <c r="C197" s="47"/>
      <c r="D197" s="37"/>
      <c r="E197" s="37"/>
      <c r="F197" s="317"/>
      <c r="G197" s="317" t="s">
        <v>459</v>
      </c>
      <c r="H197" s="519"/>
      <c r="I197" s="519">
        <v>136</v>
      </c>
      <c r="J197" s="931"/>
    </row>
    <row r="198" spans="2:10" x14ac:dyDescent="0.2">
      <c r="B198" s="57">
        <f t="shared" si="26"/>
        <v>171</v>
      </c>
      <c r="C198" s="47"/>
      <c r="D198" s="37"/>
      <c r="E198" s="37"/>
      <c r="F198" s="317"/>
      <c r="G198" s="317" t="s">
        <v>462</v>
      </c>
      <c r="H198" s="519"/>
      <c r="I198" s="519">
        <v>14161</v>
      </c>
      <c r="J198" s="931"/>
    </row>
    <row r="199" spans="2:10" x14ac:dyDescent="0.2">
      <c r="B199" s="57">
        <f t="shared" si="26"/>
        <v>172</v>
      </c>
      <c r="C199" s="47"/>
      <c r="D199" s="37"/>
      <c r="E199" s="37"/>
      <c r="F199" s="317"/>
      <c r="G199" s="317" t="s">
        <v>460</v>
      </c>
      <c r="H199" s="519"/>
      <c r="I199" s="519">
        <v>171</v>
      </c>
      <c r="J199" s="931"/>
    </row>
    <row r="200" spans="2:10" x14ac:dyDescent="0.2">
      <c r="B200" s="57">
        <f t="shared" si="26"/>
        <v>173</v>
      </c>
      <c r="C200" s="47"/>
      <c r="D200" s="37"/>
      <c r="E200" s="37"/>
      <c r="F200" s="317"/>
      <c r="G200" s="317" t="s">
        <v>463</v>
      </c>
      <c r="H200" s="519"/>
      <c r="I200" s="519">
        <v>434</v>
      </c>
      <c r="J200" s="931"/>
    </row>
    <row r="201" spans="2:10" x14ac:dyDescent="0.2">
      <c r="B201" s="57">
        <f t="shared" si="26"/>
        <v>174</v>
      </c>
      <c r="C201" s="47"/>
      <c r="D201" s="37"/>
      <c r="E201" s="37"/>
      <c r="F201" s="317"/>
      <c r="G201" s="317" t="s">
        <v>465</v>
      </c>
      <c r="H201" s="519"/>
      <c r="I201" s="519">
        <v>5958</v>
      </c>
      <c r="J201" s="931"/>
    </row>
    <row r="202" spans="2:10" x14ac:dyDescent="0.2">
      <c r="B202" s="57">
        <f t="shared" si="26"/>
        <v>175</v>
      </c>
      <c r="C202" s="47"/>
      <c r="D202" s="37"/>
      <c r="E202" s="37"/>
      <c r="F202" s="317"/>
      <c r="G202" s="318" t="s">
        <v>464</v>
      </c>
      <c r="H202" s="519"/>
      <c r="I202" s="519">
        <v>379</v>
      </c>
      <c r="J202" s="931"/>
    </row>
    <row r="203" spans="2:10" x14ac:dyDescent="0.2">
      <c r="B203" s="57">
        <f t="shared" si="26"/>
        <v>176</v>
      </c>
      <c r="C203" s="47"/>
      <c r="D203" s="37"/>
      <c r="E203" s="37"/>
      <c r="F203" s="39"/>
      <c r="G203" s="317"/>
      <c r="H203" s="519"/>
      <c r="I203" s="519"/>
      <c r="J203" s="931"/>
    </row>
    <row r="204" spans="2:10" x14ac:dyDescent="0.2">
      <c r="B204" s="57">
        <f t="shared" si="26"/>
        <v>177</v>
      </c>
      <c r="C204" s="8" t="s">
        <v>79</v>
      </c>
      <c r="D204" s="47"/>
      <c r="E204" s="48"/>
      <c r="F204" s="38" t="s">
        <v>598</v>
      </c>
      <c r="G204" s="39"/>
      <c r="H204" s="522">
        <f>H205+H214+H217</f>
        <v>79782</v>
      </c>
      <c r="I204" s="522">
        <f t="shared" ref="I204" si="32">I205+I214+I217</f>
        <v>82557</v>
      </c>
      <c r="J204" s="930">
        <f t="shared" si="27"/>
        <v>103.47822817176807</v>
      </c>
    </row>
    <row r="205" spans="2:10" x14ac:dyDescent="0.2">
      <c r="B205" s="57">
        <f t="shared" si="26"/>
        <v>178</v>
      </c>
      <c r="C205" s="47"/>
      <c r="D205" s="37" t="s">
        <v>81</v>
      </c>
      <c r="E205" s="37" t="s">
        <v>599</v>
      </c>
      <c r="F205" s="165" t="s">
        <v>600</v>
      </c>
      <c r="G205" s="39"/>
      <c r="H205" s="519">
        <f>SUM(H206:H212)</f>
        <v>75953</v>
      </c>
      <c r="I205" s="519">
        <f t="shared" ref="I205" si="33">SUM(I206:I212)</f>
        <v>78729</v>
      </c>
      <c r="J205" s="931">
        <f t="shared" si="27"/>
        <v>103.65489184100693</v>
      </c>
    </row>
    <row r="206" spans="2:10" x14ac:dyDescent="0.2">
      <c r="B206" s="57">
        <f t="shared" si="26"/>
        <v>179</v>
      </c>
      <c r="C206" s="47"/>
      <c r="D206" s="37"/>
      <c r="E206" s="37"/>
      <c r="F206" s="43"/>
      <c r="G206" s="317" t="s">
        <v>459</v>
      </c>
      <c r="H206" s="519">
        <v>14645</v>
      </c>
      <c r="I206" s="519">
        <v>17624</v>
      </c>
      <c r="J206" s="931">
        <f t="shared" si="27"/>
        <v>120.34141345169</v>
      </c>
    </row>
    <row r="207" spans="2:10" x14ac:dyDescent="0.2">
      <c r="B207" s="57">
        <f t="shared" si="26"/>
        <v>180</v>
      </c>
      <c r="C207" s="47"/>
      <c r="D207" s="37"/>
      <c r="E207" s="37"/>
      <c r="F207" s="43"/>
      <c r="G207" s="317" t="s">
        <v>460</v>
      </c>
      <c r="H207" s="519">
        <f>12000+3408</f>
        <v>15408</v>
      </c>
      <c r="I207" s="519">
        <v>6774</v>
      </c>
      <c r="J207" s="931">
        <f t="shared" si="27"/>
        <v>43.964174454828658</v>
      </c>
    </row>
    <row r="208" spans="2:10" x14ac:dyDescent="0.2">
      <c r="B208" s="57">
        <f t="shared" si="26"/>
        <v>181</v>
      </c>
      <c r="C208" s="47"/>
      <c r="D208" s="37"/>
      <c r="E208" s="37"/>
      <c r="F208" s="43"/>
      <c r="G208" s="318" t="s">
        <v>461</v>
      </c>
      <c r="H208" s="519">
        <v>8200</v>
      </c>
      <c r="I208" s="519">
        <v>8013</v>
      </c>
      <c r="J208" s="931">
        <f t="shared" si="27"/>
        <v>97.719512195121951</v>
      </c>
    </row>
    <row r="209" spans="2:10" x14ac:dyDescent="0.2">
      <c r="B209" s="57">
        <f t="shared" si="26"/>
        <v>182</v>
      </c>
      <c r="C209" s="47"/>
      <c r="D209" s="37"/>
      <c r="E209" s="37"/>
      <c r="F209" s="43"/>
      <c r="G209" s="318" t="s">
        <v>462</v>
      </c>
      <c r="H209" s="519">
        <v>5400</v>
      </c>
      <c r="I209" s="519">
        <v>5399</v>
      </c>
      <c r="J209" s="931">
        <f t="shared" si="27"/>
        <v>99.981481481481481</v>
      </c>
    </row>
    <row r="210" spans="2:10" x14ac:dyDescent="0.2">
      <c r="B210" s="57">
        <f t="shared" si="26"/>
        <v>183</v>
      </c>
      <c r="C210" s="47"/>
      <c r="D210" s="37"/>
      <c r="E210" s="37"/>
      <c r="F210" s="43"/>
      <c r="G210" s="318" t="s">
        <v>463</v>
      </c>
      <c r="H210" s="519">
        <v>11000</v>
      </c>
      <c r="I210" s="519">
        <v>10705</v>
      </c>
      <c r="J210" s="931">
        <f t="shared" si="27"/>
        <v>97.318181818181813</v>
      </c>
    </row>
    <row r="211" spans="2:10" x14ac:dyDescent="0.2">
      <c r="B211" s="57">
        <f t="shared" si="26"/>
        <v>184</v>
      </c>
      <c r="C211" s="47"/>
      <c r="D211" s="37"/>
      <c r="E211" s="37"/>
      <c r="F211" s="43"/>
      <c r="G211" s="318" t="s">
        <v>464</v>
      </c>
      <c r="H211" s="519">
        <v>8300</v>
      </c>
      <c r="I211" s="519">
        <v>8439</v>
      </c>
      <c r="J211" s="931">
        <f t="shared" si="27"/>
        <v>101.67469879518072</v>
      </c>
    </row>
    <row r="212" spans="2:10" x14ac:dyDescent="0.2">
      <c r="B212" s="57">
        <f t="shared" si="26"/>
        <v>185</v>
      </c>
      <c r="C212" s="47"/>
      <c r="D212" s="37"/>
      <c r="E212" s="37"/>
      <c r="F212" s="43"/>
      <c r="G212" s="317" t="s">
        <v>465</v>
      </c>
      <c r="H212" s="519">
        <v>13000</v>
      </c>
      <c r="I212" s="519">
        <f>17728+4047</f>
        <v>21775</v>
      </c>
      <c r="J212" s="931">
        <f t="shared" si="27"/>
        <v>167.5</v>
      </c>
    </row>
    <row r="213" spans="2:10" x14ac:dyDescent="0.2">
      <c r="B213" s="57">
        <f t="shared" si="26"/>
        <v>186</v>
      </c>
      <c r="C213" s="47"/>
      <c r="D213" s="37"/>
      <c r="E213" s="37"/>
      <c r="F213" s="43"/>
      <c r="G213" s="317"/>
      <c r="H213" s="519"/>
      <c r="I213" s="519"/>
      <c r="J213" s="931"/>
    </row>
    <row r="214" spans="2:10" x14ac:dyDescent="0.2">
      <c r="B214" s="57">
        <f t="shared" si="26"/>
        <v>187</v>
      </c>
      <c r="C214" s="47"/>
      <c r="D214" s="37" t="s">
        <v>603</v>
      </c>
      <c r="E214" s="37"/>
      <c r="F214" s="165" t="s">
        <v>742</v>
      </c>
      <c r="G214" s="317"/>
      <c r="H214" s="519">
        <f>H215+H216</f>
        <v>706</v>
      </c>
      <c r="I214" s="519">
        <f t="shared" ref="I214" si="34">I215+I216</f>
        <v>706</v>
      </c>
      <c r="J214" s="931">
        <f t="shared" si="27"/>
        <v>100</v>
      </c>
    </row>
    <row r="215" spans="2:10" x14ac:dyDescent="0.2">
      <c r="B215" s="57">
        <f t="shared" si="26"/>
        <v>188</v>
      </c>
      <c r="C215" s="47"/>
      <c r="D215" s="37"/>
      <c r="E215" s="37"/>
      <c r="F215" s="43"/>
      <c r="G215" s="318" t="s">
        <v>464</v>
      </c>
      <c r="H215" s="519">
        <f>85+54+97+70</f>
        <v>306</v>
      </c>
      <c r="I215" s="519">
        <v>306</v>
      </c>
      <c r="J215" s="931">
        <f t="shared" si="27"/>
        <v>100</v>
      </c>
    </row>
    <row r="216" spans="2:10" x14ac:dyDescent="0.2">
      <c r="B216" s="57">
        <f t="shared" si="26"/>
        <v>189</v>
      </c>
      <c r="C216" s="47"/>
      <c r="D216" s="37"/>
      <c r="E216" s="37"/>
      <c r="F216" s="43"/>
      <c r="G216" s="317" t="s">
        <v>460</v>
      </c>
      <c r="H216" s="519">
        <f>200+200</f>
        <v>400</v>
      </c>
      <c r="I216" s="519">
        <v>400</v>
      </c>
      <c r="J216" s="931">
        <f t="shared" si="27"/>
        <v>100</v>
      </c>
    </row>
    <row r="217" spans="2:10" x14ac:dyDescent="0.2">
      <c r="B217" s="57">
        <f t="shared" si="26"/>
        <v>190</v>
      </c>
      <c r="C217" s="47"/>
      <c r="D217" s="37" t="s">
        <v>81</v>
      </c>
      <c r="E217" s="37"/>
      <c r="F217" s="165" t="s">
        <v>268</v>
      </c>
      <c r="G217" s="318"/>
      <c r="H217" s="519">
        <f>H218+H219</f>
        <v>3123</v>
      </c>
      <c r="I217" s="519">
        <f t="shared" ref="I217" si="35">I218+I219</f>
        <v>3122</v>
      </c>
      <c r="J217" s="931">
        <f t="shared" si="27"/>
        <v>99.967979506884404</v>
      </c>
    </row>
    <row r="218" spans="2:10" x14ac:dyDescent="0.2">
      <c r="B218" s="57">
        <f t="shared" si="26"/>
        <v>191</v>
      </c>
      <c r="C218" s="47"/>
      <c r="D218" s="37"/>
      <c r="E218" s="37"/>
      <c r="F218" s="43"/>
      <c r="G218" s="318" t="s">
        <v>461</v>
      </c>
      <c r="H218" s="519">
        <f>896+1624+300</f>
        <v>2820</v>
      </c>
      <c r="I218" s="519">
        <f>2142+378+300</f>
        <v>2820</v>
      </c>
      <c r="J218" s="931">
        <f t="shared" si="27"/>
        <v>100</v>
      </c>
    </row>
    <row r="219" spans="2:10" x14ac:dyDescent="0.2">
      <c r="B219" s="57">
        <f t="shared" si="26"/>
        <v>192</v>
      </c>
      <c r="C219" s="47"/>
      <c r="D219" s="37"/>
      <c r="E219" s="37"/>
      <c r="F219" s="43"/>
      <c r="G219" s="318" t="s">
        <v>878</v>
      </c>
      <c r="H219" s="519">
        <v>303</v>
      </c>
      <c r="I219" s="519">
        <f>257+45</f>
        <v>302</v>
      </c>
      <c r="J219" s="931">
        <f t="shared" si="27"/>
        <v>99.669966996699671</v>
      </c>
    </row>
    <row r="220" spans="2:10" x14ac:dyDescent="0.2">
      <c r="B220" s="57">
        <f t="shared" si="26"/>
        <v>193</v>
      </c>
      <c r="C220" s="47"/>
      <c r="D220" s="37"/>
      <c r="E220" s="37"/>
      <c r="F220" s="43"/>
      <c r="G220" s="318"/>
      <c r="H220" s="519"/>
      <c r="I220" s="519"/>
      <c r="J220" s="931"/>
    </row>
    <row r="221" spans="2:10" x14ac:dyDescent="0.2">
      <c r="B221" s="57">
        <f t="shared" si="26"/>
        <v>194</v>
      </c>
      <c r="C221" s="47"/>
      <c r="D221" s="37"/>
      <c r="E221" s="37"/>
      <c r="F221" s="43" t="s">
        <v>664</v>
      </c>
      <c r="G221" s="317"/>
      <c r="H221" s="522">
        <v>24225</v>
      </c>
      <c r="I221" s="522"/>
      <c r="J221" s="930">
        <f t="shared" ref="J221:J225" si="36">I221/H221*100</f>
        <v>0</v>
      </c>
    </row>
    <row r="222" spans="2:10" x14ac:dyDescent="0.2">
      <c r="B222" s="57">
        <f t="shared" si="26"/>
        <v>195</v>
      </c>
      <c r="C222" s="47"/>
      <c r="D222" s="37"/>
      <c r="E222" s="37"/>
      <c r="F222" s="39"/>
      <c r="G222" s="317"/>
      <c r="H222" s="519"/>
      <c r="I222" s="519"/>
      <c r="J222" s="931"/>
    </row>
    <row r="223" spans="2:10" ht="12.75" customHeight="1" x14ac:dyDescent="0.2">
      <c r="B223" s="57">
        <f t="shared" si="26"/>
        <v>196</v>
      </c>
      <c r="C223" s="8"/>
      <c r="D223" s="14"/>
      <c r="E223" s="10"/>
      <c r="F223" s="113" t="s">
        <v>119</v>
      </c>
      <c r="G223" s="316"/>
      <c r="H223" s="518">
        <f>91000+194+6000</f>
        <v>97194</v>
      </c>
      <c r="I223" s="518">
        <v>101518</v>
      </c>
      <c r="J223" s="943">
        <f t="shared" si="36"/>
        <v>104.44883429018252</v>
      </c>
    </row>
    <row r="224" spans="2:10" ht="12.75" customHeight="1" x14ac:dyDescent="0.2">
      <c r="B224" s="57">
        <f t="shared" si="26"/>
        <v>197</v>
      </c>
      <c r="C224" s="8"/>
      <c r="D224" s="14"/>
      <c r="E224" s="10"/>
      <c r="F224" s="113" t="s">
        <v>677</v>
      </c>
      <c r="G224" s="316"/>
      <c r="H224" s="518">
        <f>2364+4130+480+2400+350</f>
        <v>9724</v>
      </c>
      <c r="I224" s="518">
        <v>9724</v>
      </c>
      <c r="J224" s="943">
        <f t="shared" si="36"/>
        <v>100</v>
      </c>
    </row>
    <row r="225" spans="2:10" ht="12.75" customHeight="1" thickBot="1" x14ac:dyDescent="0.25">
      <c r="B225" s="621">
        <f t="shared" si="26"/>
        <v>198</v>
      </c>
      <c r="C225" s="305"/>
      <c r="D225" s="367"/>
      <c r="E225" s="368"/>
      <c r="F225" s="190" t="s">
        <v>678</v>
      </c>
      <c r="G225" s="315"/>
      <c r="H225" s="622">
        <v>20400</v>
      </c>
      <c r="I225" s="947">
        <v>19855</v>
      </c>
      <c r="J225" s="951">
        <f t="shared" si="36"/>
        <v>97.328431372549019</v>
      </c>
    </row>
    <row r="226" spans="2:10" ht="12" customHeight="1" x14ac:dyDescent="0.2">
      <c r="B226" s="623"/>
      <c r="C226" s="624"/>
      <c r="D226" s="625"/>
      <c r="E226" s="626"/>
      <c r="F226" s="627"/>
      <c r="G226" s="628"/>
      <c r="H226" s="629"/>
      <c r="I226" s="853"/>
      <c r="J226" s="857"/>
    </row>
    <row r="227" spans="2:10" ht="12" customHeight="1" x14ac:dyDescent="0.2">
      <c r="B227" s="630"/>
      <c r="C227" s="255"/>
      <c r="D227" s="631"/>
      <c r="E227" s="257"/>
      <c r="F227" s="632"/>
      <c r="G227" s="259"/>
      <c r="H227" s="254"/>
      <c r="I227" s="254"/>
      <c r="J227" s="855"/>
    </row>
    <row r="228" spans="2:10" ht="12" customHeight="1" x14ac:dyDescent="0.2">
      <c r="B228" s="630"/>
      <c r="C228" s="255"/>
      <c r="D228" s="631"/>
      <c r="E228" s="257"/>
      <c r="F228" s="632"/>
      <c r="G228" s="259"/>
      <c r="H228" s="254"/>
      <c r="I228" s="254"/>
      <c r="J228" s="855"/>
    </row>
    <row r="229" spans="2:10" ht="12" customHeight="1" x14ac:dyDescent="0.2">
      <c r="B229" s="630"/>
      <c r="C229" s="255"/>
      <c r="D229" s="631"/>
      <c r="E229" s="257"/>
      <c r="F229" s="632"/>
      <c r="G229" s="259"/>
      <c r="H229" s="254"/>
      <c r="I229" s="254"/>
      <c r="J229" s="855"/>
    </row>
    <row r="230" spans="2:10" ht="12" customHeight="1" x14ac:dyDescent="0.2">
      <c r="B230" s="630"/>
      <c r="C230" s="255"/>
      <c r="D230" s="631"/>
      <c r="E230" s="257"/>
      <c r="F230" s="632"/>
      <c r="G230" s="259"/>
      <c r="H230" s="254"/>
      <c r="I230" s="254"/>
      <c r="J230" s="855"/>
    </row>
    <row r="231" spans="2:10" ht="12" customHeight="1" x14ac:dyDescent="0.2">
      <c r="B231" s="630"/>
      <c r="C231" s="255"/>
      <c r="D231" s="631"/>
      <c r="E231" s="257"/>
      <c r="F231" s="632"/>
      <c r="G231" s="259"/>
      <c r="H231" s="254"/>
      <c r="I231" s="254"/>
      <c r="J231" s="855"/>
    </row>
    <row r="232" spans="2:10" ht="12" customHeight="1" x14ac:dyDescent="0.2">
      <c r="B232" s="630"/>
      <c r="C232" s="255"/>
      <c r="D232" s="631"/>
      <c r="E232" s="257"/>
      <c r="F232" s="632"/>
      <c r="G232" s="259"/>
      <c r="H232" s="254"/>
      <c r="I232" s="254"/>
      <c r="J232" s="855"/>
    </row>
    <row r="233" spans="2:10" ht="12" customHeight="1" x14ac:dyDescent="0.2">
      <c r="B233" s="630"/>
      <c r="C233" s="255"/>
      <c r="D233" s="631"/>
      <c r="E233" s="257"/>
      <c r="F233" s="632"/>
      <c r="G233" s="259"/>
      <c r="H233" s="254"/>
      <c r="I233" s="254"/>
      <c r="J233" s="855"/>
    </row>
    <row r="234" spans="2:10" ht="12" customHeight="1" x14ac:dyDescent="0.2">
      <c r="B234" s="630"/>
      <c r="C234" s="255"/>
      <c r="D234" s="631"/>
      <c r="E234" s="257"/>
      <c r="F234" s="632"/>
      <c r="G234" s="259"/>
      <c r="H234" s="254"/>
      <c r="I234" s="254"/>
      <c r="J234" s="855"/>
    </row>
    <row r="235" spans="2:10" ht="12" customHeight="1" x14ac:dyDescent="0.2">
      <c r="B235" s="630"/>
      <c r="C235" s="255"/>
      <c r="D235" s="631"/>
      <c r="E235" s="257"/>
      <c r="F235" s="632"/>
      <c r="G235" s="259"/>
      <c r="H235" s="254"/>
      <c r="I235" s="254"/>
      <c r="J235" s="855"/>
    </row>
    <row r="236" spans="2:10" ht="12" customHeight="1" x14ac:dyDescent="0.2">
      <c r="B236" s="630"/>
      <c r="C236" s="255"/>
      <c r="D236" s="631"/>
      <c r="E236" s="257"/>
      <c r="F236" s="632"/>
      <c r="G236" s="259"/>
      <c r="H236" s="254"/>
      <c r="I236" s="254"/>
      <c r="J236" s="855"/>
    </row>
    <row r="237" spans="2:10" ht="12" customHeight="1" x14ac:dyDescent="0.2">
      <c r="B237" s="630"/>
      <c r="C237" s="255"/>
      <c r="D237" s="631"/>
      <c r="E237" s="257"/>
      <c r="F237" s="632"/>
      <c r="G237" s="259"/>
      <c r="H237" s="254"/>
      <c r="I237" s="254"/>
      <c r="J237" s="855"/>
    </row>
    <row r="238" spans="2:10" ht="12" customHeight="1" x14ac:dyDescent="0.2">
      <c r="B238" s="630"/>
      <c r="C238" s="255"/>
      <c r="D238" s="631"/>
      <c r="E238" s="257"/>
      <c r="F238" s="632"/>
      <c r="G238" s="259"/>
      <c r="H238" s="254"/>
      <c r="I238" s="254"/>
      <c r="J238" s="855"/>
    </row>
    <row r="239" spans="2:10" ht="12" customHeight="1" x14ac:dyDescent="0.2">
      <c r="B239" s="630"/>
      <c r="C239" s="255"/>
      <c r="D239" s="631"/>
      <c r="E239" s="257"/>
      <c r="F239" s="632"/>
      <c r="G239" s="259"/>
      <c r="H239" s="254"/>
      <c r="I239" s="254"/>
      <c r="J239" s="855"/>
    </row>
    <row r="240" spans="2:10" ht="12" customHeight="1" x14ac:dyDescent="0.2">
      <c r="B240" s="630"/>
      <c r="C240" s="255"/>
      <c r="D240" s="631"/>
      <c r="E240" s="257"/>
      <c r="F240" s="632"/>
      <c r="G240" s="259"/>
      <c r="H240" s="254"/>
      <c r="I240" s="254"/>
      <c r="J240" s="855"/>
    </row>
    <row r="241" spans="2:10" ht="12" customHeight="1" x14ac:dyDescent="0.2">
      <c r="B241" s="630"/>
      <c r="C241" s="255"/>
      <c r="D241" s="631"/>
      <c r="E241" s="257"/>
      <c r="F241" s="632"/>
      <c r="G241" s="259"/>
      <c r="H241" s="254"/>
      <c r="I241" s="254"/>
      <c r="J241" s="855"/>
    </row>
    <row r="242" spans="2:10" ht="12" customHeight="1" x14ac:dyDescent="0.2">
      <c r="B242" s="630"/>
      <c r="C242" s="255"/>
      <c r="D242" s="631"/>
      <c r="E242" s="257"/>
      <c r="F242" s="632"/>
      <c r="G242" s="259"/>
      <c r="H242" s="254"/>
      <c r="I242" s="254"/>
      <c r="J242" s="855"/>
    </row>
    <row r="243" spans="2:10" ht="12" customHeight="1" x14ac:dyDescent="0.2">
      <c r="B243" s="630"/>
      <c r="C243" s="255"/>
      <c r="D243" s="631"/>
      <c r="E243" s="257"/>
      <c r="F243" s="632"/>
      <c r="G243" s="259"/>
      <c r="H243" s="254"/>
      <c r="I243" s="254"/>
      <c r="J243" s="855"/>
    </row>
    <row r="244" spans="2:10" ht="12" customHeight="1" x14ac:dyDescent="0.2">
      <c r="B244" s="630"/>
      <c r="C244" s="255"/>
      <c r="D244" s="631"/>
      <c r="E244" s="257"/>
      <c r="F244" s="632"/>
      <c r="G244" s="259"/>
      <c r="H244" s="254"/>
      <c r="I244" s="254"/>
      <c r="J244" s="855"/>
    </row>
    <row r="245" spans="2:10" ht="12" customHeight="1" x14ac:dyDescent="0.2">
      <c r="B245" s="630"/>
      <c r="C245" s="255"/>
      <c r="D245" s="631"/>
      <c r="E245" s="257"/>
      <c r="F245" s="632"/>
      <c r="G245" s="259"/>
      <c r="H245" s="254"/>
      <c r="I245" s="254"/>
      <c r="J245" s="855"/>
    </row>
    <row r="246" spans="2:10" ht="12" customHeight="1" thickBot="1" x14ac:dyDescent="0.25">
      <c r="B246" s="633"/>
      <c r="C246" s="634"/>
      <c r="D246" s="635"/>
      <c r="E246" s="636"/>
      <c r="F246" s="637"/>
      <c r="G246" s="546"/>
      <c r="H246" s="638"/>
      <c r="I246" s="853"/>
      <c r="J246" s="857"/>
    </row>
    <row r="247" spans="2:10" ht="12" customHeight="1" x14ac:dyDescent="0.2">
      <c r="B247" s="1106" t="s">
        <v>9</v>
      </c>
      <c r="C247" s="1107"/>
      <c r="D247" s="1107"/>
      <c r="E247" s="1107"/>
      <c r="F247" s="1107"/>
      <c r="G247" s="1107"/>
      <c r="H247" s="1101" t="s">
        <v>722</v>
      </c>
      <c r="I247" s="1101" t="s">
        <v>886</v>
      </c>
      <c r="J247" s="1112" t="s">
        <v>887</v>
      </c>
    </row>
    <row r="248" spans="2:10" ht="12" customHeight="1" x14ac:dyDescent="0.2">
      <c r="B248" s="1108"/>
      <c r="C248" s="1109"/>
      <c r="D248" s="1109"/>
      <c r="E248" s="1109"/>
      <c r="F248" s="1109"/>
      <c r="G248" s="1109"/>
      <c r="H248" s="1102"/>
      <c r="I248" s="1102"/>
      <c r="J248" s="1113"/>
    </row>
    <row r="249" spans="2:10" ht="12" customHeight="1" x14ac:dyDescent="0.2">
      <c r="B249" s="77"/>
      <c r="C249" s="1104" t="s">
        <v>10</v>
      </c>
      <c r="D249" s="78" t="s">
        <v>11</v>
      </c>
      <c r="E249" s="78" t="s">
        <v>12</v>
      </c>
      <c r="F249" s="79"/>
      <c r="G249" s="79"/>
      <c r="H249" s="1102"/>
      <c r="I249" s="1102"/>
      <c r="J249" s="1113"/>
    </row>
    <row r="250" spans="2:10" ht="12" customHeight="1" thickBot="1" x14ac:dyDescent="0.25">
      <c r="B250" s="81"/>
      <c r="C250" s="1105"/>
      <c r="D250" s="83"/>
      <c r="E250" s="82" t="s">
        <v>13</v>
      </c>
      <c r="F250" s="84" t="s">
        <v>14</v>
      </c>
      <c r="G250" s="311"/>
      <c r="H250" s="1103"/>
      <c r="I250" s="1103"/>
      <c r="J250" s="1114"/>
    </row>
    <row r="251" spans="2:10" ht="19.5" customHeight="1" thickTop="1" x14ac:dyDescent="0.2">
      <c r="B251" s="57">
        <f>B225+1</f>
        <v>199</v>
      </c>
      <c r="C251" s="104" t="s">
        <v>79</v>
      </c>
      <c r="D251" s="105"/>
      <c r="E251" s="106"/>
      <c r="F251" s="107" t="s">
        <v>80</v>
      </c>
      <c r="G251" s="319"/>
      <c r="H251" s="520">
        <f>H259+H253</f>
        <v>7355647</v>
      </c>
      <c r="I251" s="520">
        <f t="shared" ref="I251" si="37">I259+I253</f>
        <v>7467881.8499999996</v>
      </c>
      <c r="J251" s="952">
        <f>I251/H251*100</f>
        <v>101.52583246585922</v>
      </c>
    </row>
    <row r="252" spans="2:10" x14ac:dyDescent="0.2">
      <c r="B252" s="57">
        <f t="shared" si="26"/>
        <v>200</v>
      </c>
      <c r="C252" s="8"/>
      <c r="D252" s="9"/>
      <c r="E252" s="11"/>
      <c r="F252" s="67"/>
      <c r="G252" s="39"/>
      <c r="H252" s="521"/>
      <c r="I252" s="521"/>
      <c r="J252" s="858"/>
    </row>
    <row r="253" spans="2:10" x14ac:dyDescent="0.2">
      <c r="B253" s="57">
        <f t="shared" si="26"/>
        <v>201</v>
      </c>
      <c r="C253" s="8"/>
      <c r="D253" s="9" t="s">
        <v>603</v>
      </c>
      <c r="E253" s="11"/>
      <c r="F253" s="67" t="s">
        <v>665</v>
      </c>
      <c r="G253" s="39"/>
      <c r="H253" s="713">
        <f>H254+H255+H256</f>
        <v>1350</v>
      </c>
      <c r="I253" s="713">
        <f>SUM(I254:I258)</f>
        <v>7014</v>
      </c>
      <c r="J253" s="953">
        <f t="shared" ref="J253:J289" si="38">I253/H253*100</f>
        <v>519.55555555555554</v>
      </c>
    </row>
    <row r="254" spans="2:10" x14ac:dyDescent="0.2">
      <c r="B254" s="57">
        <f t="shared" si="26"/>
        <v>202</v>
      </c>
      <c r="C254" s="8"/>
      <c r="D254" s="9"/>
      <c r="E254" s="11"/>
      <c r="F254" s="324" t="s">
        <v>811</v>
      </c>
      <c r="G254" s="39"/>
      <c r="H254" s="521">
        <v>600</v>
      </c>
      <c r="I254" s="521">
        <v>600</v>
      </c>
      <c r="J254" s="953">
        <f t="shared" si="38"/>
        <v>100</v>
      </c>
    </row>
    <row r="255" spans="2:10" x14ac:dyDescent="0.2">
      <c r="B255" s="57">
        <f t="shared" si="26"/>
        <v>203</v>
      </c>
      <c r="C255" s="8"/>
      <c r="D255" s="9"/>
      <c r="E255" s="11"/>
      <c r="F255" s="324" t="s">
        <v>856</v>
      </c>
      <c r="G255" s="39"/>
      <c r="H255" s="521">
        <v>500</v>
      </c>
      <c r="I255" s="521">
        <v>500</v>
      </c>
      <c r="J255" s="953">
        <f t="shared" si="38"/>
        <v>100</v>
      </c>
    </row>
    <row r="256" spans="2:10" x14ac:dyDescent="0.2">
      <c r="B256" s="57">
        <f t="shared" si="26"/>
        <v>204</v>
      </c>
      <c r="C256" s="8"/>
      <c r="D256" s="9"/>
      <c r="E256" s="11"/>
      <c r="F256" s="324" t="s">
        <v>884</v>
      </c>
      <c r="G256" s="39"/>
      <c r="H256" s="521">
        <v>250</v>
      </c>
      <c r="I256" s="521">
        <v>0</v>
      </c>
      <c r="J256" s="953">
        <f t="shared" si="38"/>
        <v>0</v>
      </c>
    </row>
    <row r="257" spans="2:10" x14ac:dyDescent="0.2">
      <c r="B257" s="57">
        <f t="shared" si="26"/>
        <v>205</v>
      </c>
      <c r="C257" s="8"/>
      <c r="D257" s="9"/>
      <c r="E257" s="11"/>
      <c r="F257" s="324" t="s">
        <v>899</v>
      </c>
      <c r="G257" s="39"/>
      <c r="H257" s="521"/>
      <c r="I257" s="521">
        <f>2477+437</f>
        <v>2914</v>
      </c>
      <c r="J257" s="953"/>
    </row>
    <row r="258" spans="2:10" x14ac:dyDescent="0.2">
      <c r="B258" s="57">
        <f t="shared" si="26"/>
        <v>206</v>
      </c>
      <c r="C258" s="8"/>
      <c r="D258" s="9"/>
      <c r="E258" s="11"/>
      <c r="F258" s="324" t="s">
        <v>901</v>
      </c>
      <c r="G258" s="39"/>
      <c r="H258" s="521"/>
      <c r="I258" s="521">
        <v>3000</v>
      </c>
      <c r="J258" s="953"/>
    </row>
    <row r="259" spans="2:10" ht="12.75" customHeight="1" x14ac:dyDescent="0.2">
      <c r="B259" s="57">
        <f t="shared" si="26"/>
        <v>207</v>
      </c>
      <c r="C259" s="8"/>
      <c r="D259" s="9" t="s">
        <v>81</v>
      </c>
      <c r="E259" s="11"/>
      <c r="F259" s="67" t="s">
        <v>82</v>
      </c>
      <c r="G259" s="39"/>
      <c r="H259" s="522">
        <f>H260</f>
        <v>7354297</v>
      </c>
      <c r="I259" s="522">
        <f t="shared" ref="I259" si="39">I260</f>
        <v>7460867.8499999996</v>
      </c>
      <c r="J259" s="930">
        <f t="shared" si="38"/>
        <v>101.4490963582243</v>
      </c>
    </row>
    <row r="260" spans="2:10" x14ac:dyDescent="0.2">
      <c r="B260" s="57">
        <f t="shared" si="26"/>
        <v>208</v>
      </c>
      <c r="C260" s="8"/>
      <c r="D260" s="11"/>
      <c r="E260" s="7"/>
      <c r="F260" s="31" t="s">
        <v>83</v>
      </c>
      <c r="G260" s="39"/>
      <c r="H260" s="521">
        <f>SUM(H261:H288)</f>
        <v>7354297</v>
      </c>
      <c r="I260" s="521">
        <f>I261+I269+I270+I271+I272+I273+I274+I275+I276+I277+I278+I279+I280+I281+I282+I284+I285+I286+I287</f>
        <v>7460867.8499999996</v>
      </c>
      <c r="J260" s="953">
        <f t="shared" si="38"/>
        <v>101.4490963582243</v>
      </c>
    </row>
    <row r="261" spans="2:10" x14ac:dyDescent="0.2">
      <c r="B261" s="57">
        <f t="shared" si="26"/>
        <v>209</v>
      </c>
      <c r="C261" s="53"/>
      <c r="D261" s="12"/>
      <c r="E261" s="545"/>
      <c r="F261" s="73" t="s">
        <v>84</v>
      </c>
      <c r="G261" s="320"/>
      <c r="H261" s="583">
        <f>5919630+85036+62563+59414</f>
        <v>6126643</v>
      </c>
      <c r="I261" s="583">
        <f>SUM(I262:I268)</f>
        <v>6226851</v>
      </c>
      <c r="J261" s="936">
        <f t="shared" si="38"/>
        <v>101.63561023549113</v>
      </c>
    </row>
    <row r="262" spans="2:10" x14ac:dyDescent="0.2">
      <c r="B262" s="57">
        <f t="shared" si="26"/>
        <v>210</v>
      </c>
      <c r="C262" s="8"/>
      <c r="D262" s="11"/>
      <c r="E262" s="7"/>
      <c r="F262" s="35"/>
      <c r="G262" s="39" t="s">
        <v>891</v>
      </c>
      <c r="H262" s="519"/>
      <c r="I262" s="519">
        <v>6052657</v>
      </c>
      <c r="J262" s="931"/>
    </row>
    <row r="263" spans="2:10" x14ac:dyDescent="0.2">
      <c r="B263" s="57">
        <f t="shared" si="26"/>
        <v>211</v>
      </c>
      <c r="C263" s="8"/>
      <c r="D263" s="11"/>
      <c r="E263" s="7"/>
      <c r="F263" s="35"/>
      <c r="G263" s="39" t="s">
        <v>892</v>
      </c>
      <c r="H263" s="519"/>
      <c r="I263" s="519">
        <v>89400</v>
      </c>
      <c r="J263" s="931"/>
    </row>
    <row r="264" spans="2:10" x14ac:dyDescent="0.2">
      <c r="B264" s="57">
        <f t="shared" si="26"/>
        <v>212</v>
      </c>
      <c r="C264" s="8"/>
      <c r="D264" s="11"/>
      <c r="E264" s="7"/>
      <c r="F264" s="35"/>
      <c r="G264" s="39" t="s">
        <v>894</v>
      </c>
      <c r="H264" s="519"/>
      <c r="I264" s="519">
        <v>42725</v>
      </c>
      <c r="J264" s="931"/>
    </row>
    <row r="265" spans="2:10" x14ac:dyDescent="0.2">
      <c r="B265" s="57">
        <f t="shared" si="26"/>
        <v>213</v>
      </c>
      <c r="C265" s="8"/>
      <c r="D265" s="11"/>
      <c r="E265" s="7"/>
      <c r="F265" s="35"/>
      <c r="G265" s="39" t="s">
        <v>895</v>
      </c>
      <c r="H265" s="519"/>
      <c r="I265" s="519">
        <v>19561</v>
      </c>
      <c r="J265" s="931"/>
    </row>
    <row r="266" spans="2:10" x14ac:dyDescent="0.2">
      <c r="B266" s="57">
        <f t="shared" si="26"/>
        <v>214</v>
      </c>
      <c r="C266" s="8"/>
      <c r="D266" s="11"/>
      <c r="E266" s="7"/>
      <c r="F266" s="35"/>
      <c r="G266" s="39" t="s">
        <v>896</v>
      </c>
      <c r="H266" s="519"/>
      <c r="I266" s="519">
        <v>2200</v>
      </c>
      <c r="J266" s="931"/>
    </row>
    <row r="267" spans="2:10" x14ac:dyDescent="0.2">
      <c r="B267" s="57">
        <f t="shared" si="26"/>
        <v>215</v>
      </c>
      <c r="C267" s="8"/>
      <c r="D267" s="11"/>
      <c r="E267" s="7"/>
      <c r="F267" s="35"/>
      <c r="G267" s="39" t="s">
        <v>897</v>
      </c>
      <c r="H267" s="519"/>
      <c r="I267" s="519">
        <v>5406</v>
      </c>
      <c r="J267" s="931"/>
    </row>
    <row r="268" spans="2:10" x14ac:dyDescent="0.2">
      <c r="B268" s="57">
        <f t="shared" si="26"/>
        <v>216</v>
      </c>
      <c r="C268" s="8"/>
      <c r="D268" s="11"/>
      <c r="E268" s="7"/>
      <c r="F268" s="35"/>
      <c r="G268" s="39" t="s">
        <v>898</v>
      </c>
      <c r="H268" s="519"/>
      <c r="I268" s="519">
        <v>14902</v>
      </c>
      <c r="J268" s="931"/>
    </row>
    <row r="269" spans="2:10" ht="12.75" customHeight="1" x14ac:dyDescent="0.2">
      <c r="B269" s="57">
        <f t="shared" si="26"/>
        <v>217</v>
      </c>
      <c r="C269" s="8"/>
      <c r="D269" s="11"/>
      <c r="E269" s="11"/>
      <c r="F269" s="35" t="s">
        <v>155</v>
      </c>
      <c r="G269" s="39"/>
      <c r="H269" s="519">
        <f>81540+1304</f>
        <v>82844</v>
      </c>
      <c r="I269" s="519">
        <v>82844</v>
      </c>
      <c r="J269" s="931">
        <f t="shared" si="38"/>
        <v>100</v>
      </c>
    </row>
    <row r="270" spans="2:10" ht="12.75" customHeight="1" x14ac:dyDescent="0.2">
      <c r="B270" s="57">
        <f t="shared" si="26"/>
        <v>218</v>
      </c>
      <c r="C270" s="8"/>
      <c r="D270" s="11"/>
      <c r="E270" s="11"/>
      <c r="F270" s="43" t="s">
        <v>85</v>
      </c>
      <c r="G270" s="39"/>
      <c r="H270" s="584">
        <v>833090</v>
      </c>
      <c r="I270" s="584">
        <v>814254</v>
      </c>
      <c r="J270" s="937">
        <f t="shared" si="38"/>
        <v>97.739019793779775</v>
      </c>
    </row>
    <row r="271" spans="2:10" x14ac:dyDescent="0.2">
      <c r="B271" s="57">
        <f t="shared" si="26"/>
        <v>219</v>
      </c>
      <c r="C271" s="8"/>
      <c r="D271" s="14"/>
      <c r="E271" s="10"/>
      <c r="F271" s="43" t="s">
        <v>86</v>
      </c>
      <c r="G271" s="39"/>
      <c r="H271" s="519">
        <f>71500+13500+2265</f>
        <v>87265</v>
      </c>
      <c r="I271" s="519">
        <v>87266</v>
      </c>
      <c r="J271" s="931">
        <f t="shared" si="38"/>
        <v>100.00114593479633</v>
      </c>
    </row>
    <row r="272" spans="2:10" x14ac:dyDescent="0.2">
      <c r="B272" s="57">
        <f t="shared" si="26"/>
        <v>220</v>
      </c>
      <c r="C272" s="8"/>
      <c r="D272" s="14"/>
      <c r="E272" s="10"/>
      <c r="F272" s="43" t="s">
        <v>75</v>
      </c>
      <c r="G272" s="39"/>
      <c r="H272" s="519">
        <v>52000</v>
      </c>
      <c r="I272" s="519">
        <v>54388</v>
      </c>
      <c r="J272" s="931">
        <f t="shared" si="38"/>
        <v>104.5923076923077</v>
      </c>
    </row>
    <row r="273" spans="2:10" x14ac:dyDescent="0.2">
      <c r="B273" s="57">
        <f t="shared" si="26"/>
        <v>221</v>
      </c>
      <c r="C273" s="8"/>
      <c r="D273" s="14"/>
      <c r="E273" s="10"/>
      <c r="F273" s="43" t="s">
        <v>87</v>
      </c>
      <c r="G273" s="39"/>
      <c r="H273" s="519">
        <f>38040+1432</f>
        <v>39472</v>
      </c>
      <c r="I273" s="519">
        <v>39472</v>
      </c>
      <c r="J273" s="931">
        <f t="shared" si="38"/>
        <v>100</v>
      </c>
    </row>
    <row r="274" spans="2:10" x14ac:dyDescent="0.2">
      <c r="B274" s="57">
        <f t="shared" si="26"/>
        <v>222</v>
      </c>
      <c r="C274" s="8"/>
      <c r="D274" s="14"/>
      <c r="E274" s="10"/>
      <c r="F274" s="43" t="s">
        <v>1</v>
      </c>
      <c r="G274" s="39"/>
      <c r="H274" s="519">
        <v>18500</v>
      </c>
      <c r="I274" s="519">
        <v>18442</v>
      </c>
      <c r="J274" s="931">
        <f t="shared" si="38"/>
        <v>99.686486486486487</v>
      </c>
    </row>
    <row r="275" spans="2:10" ht="14.25" customHeight="1" x14ac:dyDescent="0.2">
      <c r="B275" s="57">
        <f t="shared" si="26"/>
        <v>223</v>
      </c>
      <c r="C275" s="8"/>
      <c r="D275" s="14"/>
      <c r="E275" s="10"/>
      <c r="F275" s="43" t="s">
        <v>88</v>
      </c>
      <c r="G275" s="39"/>
      <c r="H275" s="519">
        <v>24500</v>
      </c>
      <c r="I275" s="519">
        <v>24324</v>
      </c>
      <c r="J275" s="931">
        <f t="shared" si="38"/>
        <v>99.281632653061223</v>
      </c>
    </row>
    <row r="276" spans="2:10" x14ac:dyDescent="0.2">
      <c r="B276" s="57">
        <f t="shared" si="26"/>
        <v>224</v>
      </c>
      <c r="C276" s="508"/>
      <c r="D276" s="509"/>
      <c r="E276" s="510"/>
      <c r="F276" s="511" t="s">
        <v>652</v>
      </c>
      <c r="G276" s="512"/>
      <c r="H276" s="605">
        <f>4000+6000</f>
        <v>10000</v>
      </c>
      <c r="I276" s="605">
        <v>10172</v>
      </c>
      <c r="J276" s="954">
        <f t="shared" si="38"/>
        <v>101.72000000000001</v>
      </c>
    </row>
    <row r="277" spans="2:10" x14ac:dyDescent="0.2">
      <c r="B277" s="57">
        <f t="shared" ref="B277:B289" si="40">B276+1</f>
        <v>225</v>
      </c>
      <c r="C277" s="508"/>
      <c r="D277" s="509"/>
      <c r="E277" s="510"/>
      <c r="F277" s="511" t="s">
        <v>642</v>
      </c>
      <c r="G277" s="512"/>
      <c r="H277" s="605">
        <v>6694</v>
      </c>
      <c r="I277" s="605">
        <v>6694</v>
      </c>
      <c r="J277" s="954">
        <f t="shared" si="38"/>
        <v>100</v>
      </c>
    </row>
    <row r="278" spans="2:10" x14ac:dyDescent="0.2">
      <c r="B278" s="57">
        <f t="shared" si="40"/>
        <v>226</v>
      </c>
      <c r="C278" s="508"/>
      <c r="D278" s="509"/>
      <c r="E278" s="510"/>
      <c r="F278" s="816" t="s">
        <v>757</v>
      </c>
      <c r="G278" s="320"/>
      <c r="H278" s="583">
        <v>14893</v>
      </c>
      <c r="I278" s="583">
        <v>14893</v>
      </c>
      <c r="J278" s="936">
        <f t="shared" si="38"/>
        <v>100</v>
      </c>
    </row>
    <row r="279" spans="2:10" x14ac:dyDescent="0.2">
      <c r="B279" s="57">
        <f t="shared" si="40"/>
        <v>227</v>
      </c>
      <c r="C279" s="508"/>
      <c r="D279" s="509"/>
      <c r="E279" s="510"/>
      <c r="F279" s="30" t="s">
        <v>830</v>
      </c>
      <c r="G279" s="712"/>
      <c r="H279" s="686">
        <v>7000</v>
      </c>
      <c r="I279" s="686">
        <f>7000-2516.15</f>
        <v>4483.8500000000004</v>
      </c>
      <c r="J279" s="940">
        <f t="shared" si="38"/>
        <v>64.055000000000007</v>
      </c>
    </row>
    <row r="280" spans="2:10" x14ac:dyDescent="0.2">
      <c r="B280" s="57">
        <f t="shared" si="40"/>
        <v>228</v>
      </c>
      <c r="C280" s="508"/>
      <c r="D280" s="509"/>
      <c r="E280" s="510"/>
      <c r="F280" s="511" t="s">
        <v>831</v>
      </c>
      <c r="G280" s="512"/>
      <c r="H280" s="605">
        <v>500</v>
      </c>
      <c r="I280" s="605">
        <v>500</v>
      </c>
      <c r="J280" s="954">
        <f t="shared" si="38"/>
        <v>100</v>
      </c>
    </row>
    <row r="281" spans="2:10" x14ac:dyDescent="0.2">
      <c r="B281" s="57">
        <f t="shared" si="40"/>
        <v>229</v>
      </c>
      <c r="C281" s="508"/>
      <c r="D281" s="509"/>
      <c r="E281" s="510"/>
      <c r="F281" s="511" t="s">
        <v>829</v>
      </c>
      <c r="G281" s="512"/>
      <c r="H281" s="605">
        <v>2000</v>
      </c>
      <c r="I281" s="605">
        <v>2000</v>
      </c>
      <c r="J281" s="954">
        <f t="shared" si="38"/>
        <v>100</v>
      </c>
    </row>
    <row r="282" spans="2:10" ht="12.75" customHeight="1" x14ac:dyDescent="0.2">
      <c r="B282" s="57">
        <f t="shared" si="40"/>
        <v>230</v>
      </c>
      <c r="C282" s="508"/>
      <c r="D282" s="837"/>
      <c r="E282" s="510"/>
      <c r="F282" s="511" t="s">
        <v>859</v>
      </c>
      <c r="G282" s="512"/>
      <c r="H282" s="605">
        <v>3080</v>
      </c>
      <c r="I282" s="605">
        <f>2274+12536</f>
        <v>14810</v>
      </c>
      <c r="J282" s="954">
        <f t="shared" si="38"/>
        <v>480.84415584415581</v>
      </c>
    </row>
    <row r="283" spans="2:10" ht="12.75" customHeight="1" x14ac:dyDescent="0.2">
      <c r="B283" s="57">
        <f t="shared" si="40"/>
        <v>231</v>
      </c>
      <c r="C283" s="53"/>
      <c r="D283" s="9"/>
      <c r="E283" s="69"/>
      <c r="F283" s="511" t="s">
        <v>874</v>
      </c>
      <c r="G283" s="512"/>
      <c r="H283" s="838">
        <v>6923</v>
      </c>
      <c r="I283" s="865">
        <v>0</v>
      </c>
      <c r="J283" s="955">
        <f t="shared" si="38"/>
        <v>0</v>
      </c>
    </row>
    <row r="284" spans="2:10" ht="12.75" customHeight="1" x14ac:dyDescent="0.2">
      <c r="B284" s="57">
        <f t="shared" si="40"/>
        <v>232</v>
      </c>
      <c r="C284" s="53"/>
      <c r="D284" s="9"/>
      <c r="E284" s="69"/>
      <c r="F284" s="511" t="s">
        <v>882</v>
      </c>
      <c r="G284" s="512"/>
      <c r="H284" s="838">
        <v>38893</v>
      </c>
      <c r="I284" s="865">
        <v>38893</v>
      </c>
      <c r="J284" s="955">
        <f t="shared" si="38"/>
        <v>100</v>
      </c>
    </row>
    <row r="285" spans="2:10" ht="12.75" customHeight="1" x14ac:dyDescent="0.2">
      <c r="B285" s="57">
        <f t="shared" si="40"/>
        <v>233</v>
      </c>
      <c r="C285" s="53"/>
      <c r="D285" s="9"/>
      <c r="E285" s="69"/>
      <c r="F285" s="511" t="s">
        <v>889</v>
      </c>
      <c r="G285" s="512"/>
      <c r="H285" s="838"/>
      <c r="I285" s="865">
        <f>714+2240+395</f>
        <v>3349</v>
      </c>
      <c r="J285" s="955"/>
    </row>
    <row r="286" spans="2:10" ht="12.75" customHeight="1" x14ac:dyDescent="0.2">
      <c r="B286" s="57">
        <f t="shared" si="40"/>
        <v>234</v>
      </c>
      <c r="C286" s="53"/>
      <c r="D286" s="9"/>
      <c r="E286" s="69"/>
      <c r="F286" s="511" t="s">
        <v>890</v>
      </c>
      <c r="G286" s="512"/>
      <c r="H286" s="838"/>
      <c r="I286" s="865">
        <v>12000</v>
      </c>
      <c r="J286" s="955"/>
    </row>
    <row r="287" spans="2:10" ht="12.75" customHeight="1" x14ac:dyDescent="0.2">
      <c r="B287" s="57">
        <f t="shared" si="40"/>
        <v>235</v>
      </c>
      <c r="C287" s="53"/>
      <c r="D287" s="9"/>
      <c r="E287" s="69"/>
      <c r="F287" s="511" t="s">
        <v>893</v>
      </c>
      <c r="G287" s="512"/>
      <c r="H287" s="838"/>
      <c r="I287" s="865">
        <v>5232</v>
      </c>
      <c r="J287" s="955"/>
    </row>
    <row r="288" spans="2:10" ht="12.75" customHeight="1" x14ac:dyDescent="0.2">
      <c r="B288" s="57">
        <f t="shared" si="40"/>
        <v>236</v>
      </c>
      <c r="C288" s="53"/>
      <c r="D288" s="9"/>
      <c r="E288" s="69"/>
      <c r="F288" s="511"/>
      <c r="G288" s="512"/>
      <c r="H288" s="838"/>
      <c r="I288" s="838"/>
      <c r="J288" s="859"/>
    </row>
    <row r="289" spans="1:10" s="485" customFormat="1" ht="31.5" customHeight="1" thickBot="1" x14ac:dyDescent="0.25">
      <c r="A289" s="956"/>
      <c r="B289" s="957">
        <f t="shared" si="40"/>
        <v>237</v>
      </c>
      <c r="C289" s="958"/>
      <c r="D289" s="959"/>
      <c r="E289" s="960"/>
      <c r="F289" s="961" t="s">
        <v>89</v>
      </c>
      <c r="G289" s="962"/>
      <c r="H289" s="963">
        <f>H251+H24+H7</f>
        <v>32911616</v>
      </c>
      <c r="I289" s="963">
        <f>I251+I24+I7</f>
        <v>34189884.850000001</v>
      </c>
      <c r="J289" s="964">
        <f t="shared" si="38"/>
        <v>103.88394434961808</v>
      </c>
    </row>
    <row r="290" spans="1:10" ht="15.75" customHeight="1" x14ac:dyDescent="0.2">
      <c r="B290" s="57"/>
      <c r="H290" s="17"/>
      <c r="I290" s="17"/>
      <c r="J290" s="860"/>
    </row>
    <row r="291" spans="1:10" ht="15.75" customHeight="1" thickBot="1" x14ac:dyDescent="0.25"/>
    <row r="292" spans="1:10" ht="13.5" customHeight="1" x14ac:dyDescent="0.2">
      <c r="B292" s="1106" t="s">
        <v>179</v>
      </c>
      <c r="C292" s="1115"/>
      <c r="D292" s="1115"/>
      <c r="E292" s="1115"/>
      <c r="F292" s="1115"/>
      <c r="G292" s="1115"/>
      <c r="H292" s="1101" t="s">
        <v>722</v>
      </c>
      <c r="I292" s="1101" t="s">
        <v>886</v>
      </c>
      <c r="J292" s="1112" t="s">
        <v>887</v>
      </c>
    </row>
    <row r="293" spans="1:10" ht="15" customHeight="1" x14ac:dyDescent="0.2">
      <c r="B293" s="1116"/>
      <c r="C293" s="1117"/>
      <c r="D293" s="1117"/>
      <c r="E293" s="1117"/>
      <c r="F293" s="1117"/>
      <c r="G293" s="1117"/>
      <c r="H293" s="1102"/>
      <c r="I293" s="1102"/>
      <c r="J293" s="1113"/>
    </row>
    <row r="294" spans="1:10" ht="12.75" customHeight="1" x14ac:dyDescent="0.2">
      <c r="B294" s="77"/>
      <c r="C294" s="1118" t="s">
        <v>10</v>
      </c>
      <c r="D294" s="78" t="s">
        <v>11</v>
      </c>
      <c r="E294" s="78" t="s">
        <v>12</v>
      </c>
      <c r="F294" s="80"/>
      <c r="G294" s="79"/>
      <c r="H294" s="1102"/>
      <c r="I294" s="1102"/>
      <c r="J294" s="1113"/>
    </row>
    <row r="295" spans="1:10" ht="18.75" customHeight="1" thickBot="1" x14ac:dyDescent="0.25">
      <c r="B295" s="81"/>
      <c r="C295" s="1105"/>
      <c r="D295" s="83"/>
      <c r="E295" s="82" t="s">
        <v>13</v>
      </c>
      <c r="F295" s="85" t="s">
        <v>14</v>
      </c>
      <c r="G295" s="311"/>
      <c r="H295" s="1103"/>
      <c r="I295" s="1103"/>
      <c r="J295" s="1114"/>
    </row>
    <row r="296" spans="1:10" ht="16.5" thickTop="1" x14ac:dyDescent="0.2">
      <c r="B296" s="87">
        <v>1</v>
      </c>
      <c r="C296" s="88" t="s">
        <v>37</v>
      </c>
      <c r="D296" s="89"/>
      <c r="E296" s="301"/>
      <c r="F296" s="302" t="s">
        <v>38</v>
      </c>
      <c r="G296" s="314"/>
      <c r="H296" s="594">
        <f>H298</f>
        <v>786000</v>
      </c>
      <c r="I296" s="594">
        <f t="shared" ref="I296" si="41">I298</f>
        <v>1612029</v>
      </c>
      <c r="J296" s="929">
        <f>I296/H296*100</f>
        <v>205.09274809160308</v>
      </c>
    </row>
    <row r="297" spans="1:10" ht="15" x14ac:dyDescent="0.25">
      <c r="B297" s="90">
        <f t="shared" ref="B297:B311" si="42">B296+1</f>
        <v>2</v>
      </c>
      <c r="C297" s="14"/>
      <c r="D297" s="8"/>
      <c r="E297" s="70"/>
      <c r="F297" s="38"/>
      <c r="G297" s="38"/>
      <c r="H297" s="606"/>
      <c r="I297" s="606"/>
      <c r="J297" s="1097"/>
    </row>
    <row r="298" spans="1:10" x14ac:dyDescent="0.2">
      <c r="B298" s="90">
        <f t="shared" si="42"/>
        <v>3</v>
      </c>
      <c r="C298" s="53" t="s">
        <v>180</v>
      </c>
      <c r="D298" s="53"/>
      <c r="E298" s="70"/>
      <c r="F298" s="91" t="s">
        <v>181</v>
      </c>
      <c r="G298" s="43"/>
      <c r="H298" s="607">
        <f>H299+H302</f>
        <v>786000</v>
      </c>
      <c r="I298" s="607">
        <f t="shared" ref="I298" si="43">I299+I302</f>
        <v>1612029</v>
      </c>
      <c r="J298" s="1097">
        <f t="shared" ref="J298:J307" si="44">I298/H298*100</f>
        <v>205.09274809160308</v>
      </c>
    </row>
    <row r="299" spans="1:10" ht="13.5" customHeight="1" x14ac:dyDescent="0.2">
      <c r="B299" s="90">
        <f t="shared" si="42"/>
        <v>4</v>
      </c>
      <c r="C299" s="8"/>
      <c r="D299" s="45" t="s">
        <v>182</v>
      </c>
      <c r="E299" s="9" t="s">
        <v>26</v>
      </c>
      <c r="F299" s="300" t="s">
        <v>183</v>
      </c>
      <c r="G299" s="50"/>
      <c r="H299" s="572">
        <f>SUM(H300:H301)</f>
        <v>779200</v>
      </c>
      <c r="I299" s="572">
        <f t="shared" ref="I299" si="45">SUM(I300:I301)</f>
        <v>1558494</v>
      </c>
      <c r="J299" s="1098">
        <f t="shared" si="44"/>
        <v>200.0120636550308</v>
      </c>
    </row>
    <row r="300" spans="1:10" x14ac:dyDescent="0.2">
      <c r="B300" s="90">
        <f t="shared" si="42"/>
        <v>5</v>
      </c>
      <c r="C300" s="9"/>
      <c r="D300" s="12"/>
      <c r="E300" s="45"/>
      <c r="F300" s="18" t="s">
        <v>184</v>
      </c>
      <c r="G300" s="43"/>
      <c r="H300" s="608">
        <f>350000+167000</f>
        <v>517000</v>
      </c>
      <c r="I300" s="608">
        <f>943552+119880</f>
        <v>1063432</v>
      </c>
      <c r="J300" s="1097">
        <f t="shared" si="44"/>
        <v>205.69284332688588</v>
      </c>
    </row>
    <row r="301" spans="1:10" x14ac:dyDescent="0.2">
      <c r="B301" s="90">
        <f t="shared" si="42"/>
        <v>6</v>
      </c>
      <c r="C301" s="9"/>
      <c r="D301" s="11"/>
      <c r="E301" s="45"/>
      <c r="F301" s="18" t="s">
        <v>758</v>
      </c>
      <c r="G301" s="43"/>
      <c r="H301" s="608">
        <f>245945+16255</f>
        <v>262200</v>
      </c>
      <c r="I301" s="608">
        <f>614942-119880</f>
        <v>495062</v>
      </c>
      <c r="J301" s="1097">
        <f t="shared" si="44"/>
        <v>188.81083142639204</v>
      </c>
    </row>
    <row r="302" spans="1:10" x14ac:dyDescent="0.2">
      <c r="B302" s="90">
        <f t="shared" si="42"/>
        <v>7</v>
      </c>
      <c r="C302" s="9"/>
      <c r="D302" s="11" t="s">
        <v>759</v>
      </c>
      <c r="E302" s="45"/>
      <c r="F302" s="18" t="s">
        <v>760</v>
      </c>
      <c r="G302" s="43"/>
      <c r="H302" s="608">
        <f>H303+H304</f>
        <v>6800</v>
      </c>
      <c r="I302" s="608">
        <f t="shared" ref="I302" si="46">I303+I304</f>
        <v>53535</v>
      </c>
      <c r="J302" s="1097">
        <f t="shared" si="44"/>
        <v>787.27941176470586</v>
      </c>
    </row>
    <row r="303" spans="1:10" x14ac:dyDescent="0.2">
      <c r="B303" s="90">
        <f t="shared" si="42"/>
        <v>8</v>
      </c>
      <c r="C303" s="9"/>
      <c r="D303" s="11"/>
      <c r="E303" s="45"/>
      <c r="F303" s="18" t="s">
        <v>761</v>
      </c>
      <c r="G303" s="43"/>
      <c r="H303" s="608">
        <v>1500</v>
      </c>
      <c r="I303" s="608">
        <v>1573</v>
      </c>
      <c r="J303" s="1097">
        <f t="shared" si="44"/>
        <v>104.86666666666666</v>
      </c>
    </row>
    <row r="304" spans="1:10" x14ac:dyDescent="0.2">
      <c r="B304" s="90">
        <f t="shared" si="42"/>
        <v>9</v>
      </c>
      <c r="C304" s="9"/>
      <c r="D304" s="11"/>
      <c r="E304" s="45"/>
      <c r="F304" s="18" t="s">
        <v>762</v>
      </c>
      <c r="G304" s="43"/>
      <c r="H304" s="608">
        <v>5300</v>
      </c>
      <c r="I304" s="608">
        <f>42734+9228</f>
        <v>51962</v>
      </c>
      <c r="J304" s="1097">
        <f t="shared" si="44"/>
        <v>980.41509433962267</v>
      </c>
    </row>
    <row r="305" spans="2:10" ht="15.75" customHeight="1" x14ac:dyDescent="0.25">
      <c r="B305" s="90">
        <f t="shared" si="42"/>
        <v>10</v>
      </c>
      <c r="C305" s="92"/>
      <c r="D305" s="7"/>
      <c r="E305" s="26"/>
      <c r="F305" s="18"/>
      <c r="G305" s="43"/>
      <c r="H305" s="609"/>
      <c r="I305" s="609"/>
      <c r="J305" s="1099"/>
    </row>
    <row r="306" spans="2:10" ht="15.75" customHeight="1" x14ac:dyDescent="0.2">
      <c r="B306" s="90">
        <f t="shared" si="42"/>
        <v>11</v>
      </c>
      <c r="C306" s="821" t="s">
        <v>79</v>
      </c>
      <c r="D306" s="822"/>
      <c r="E306" s="823"/>
      <c r="F306" s="826" t="s">
        <v>80</v>
      </c>
      <c r="G306" s="824"/>
      <c r="H306" s="601">
        <f>H307+H308</f>
        <v>231283</v>
      </c>
      <c r="I306" s="601">
        <f>SUM(I307:I309)</f>
        <v>195000</v>
      </c>
      <c r="J306" s="935">
        <f t="shared" si="44"/>
        <v>84.312292732280369</v>
      </c>
    </row>
    <row r="307" spans="2:10" ht="15.75" customHeight="1" x14ac:dyDescent="0.2">
      <c r="B307" s="90">
        <f t="shared" si="42"/>
        <v>12</v>
      </c>
      <c r="C307" s="92"/>
      <c r="D307" s="7" t="s">
        <v>844</v>
      </c>
      <c r="E307" s="26"/>
      <c r="F307" s="18" t="s">
        <v>845</v>
      </c>
      <c r="G307" s="43"/>
      <c r="H307" s="825">
        <v>15000</v>
      </c>
      <c r="I307" s="825">
        <v>15000</v>
      </c>
      <c r="J307" s="1000">
        <f t="shared" si="44"/>
        <v>100</v>
      </c>
    </row>
    <row r="308" spans="2:10" ht="15.75" customHeight="1" x14ac:dyDescent="0.2">
      <c r="B308" s="90">
        <f t="shared" si="42"/>
        <v>13</v>
      </c>
      <c r="C308" s="92"/>
      <c r="D308" s="7" t="s">
        <v>844</v>
      </c>
      <c r="E308" s="26"/>
      <c r="F308" s="18" t="s">
        <v>874</v>
      </c>
      <c r="G308" s="43"/>
      <c r="H308" s="825">
        <v>216283</v>
      </c>
      <c r="I308" s="825">
        <v>0</v>
      </c>
      <c r="J308" s="1000">
        <v>0</v>
      </c>
    </row>
    <row r="309" spans="2:10" ht="15.75" customHeight="1" x14ac:dyDescent="0.2">
      <c r="B309" s="90">
        <f t="shared" si="42"/>
        <v>14</v>
      </c>
      <c r="C309" s="92"/>
      <c r="D309" s="7" t="s">
        <v>844</v>
      </c>
      <c r="E309" s="26"/>
      <c r="F309" s="18" t="s">
        <v>900</v>
      </c>
      <c r="G309" s="43"/>
      <c r="H309" s="825"/>
      <c r="I309" s="825">
        <v>180000</v>
      </c>
      <c r="J309" s="1000">
        <v>0</v>
      </c>
    </row>
    <row r="310" spans="2:10" ht="15.75" customHeight="1" x14ac:dyDescent="0.25">
      <c r="B310" s="90">
        <f t="shared" si="42"/>
        <v>15</v>
      </c>
      <c r="C310" s="92"/>
      <c r="D310" s="7"/>
      <c r="E310" s="26"/>
      <c r="F310" s="18"/>
      <c r="G310" s="43"/>
      <c r="H310" s="609"/>
      <c r="I310" s="609"/>
      <c r="J310" s="1099"/>
    </row>
    <row r="311" spans="2:10" ht="25.5" customHeight="1" thickBot="1" x14ac:dyDescent="0.35">
      <c r="B311" s="90">
        <f t="shared" si="42"/>
        <v>16</v>
      </c>
      <c r="C311" s="298"/>
      <c r="D311" s="299"/>
      <c r="E311" s="303"/>
      <c r="F311" s="650" t="s">
        <v>185</v>
      </c>
      <c r="G311" s="304"/>
      <c r="H311" s="649">
        <f>H296+H306</f>
        <v>1017283</v>
      </c>
      <c r="I311" s="649">
        <f t="shared" ref="I311" si="47">I296+I306</f>
        <v>1807029</v>
      </c>
      <c r="J311" s="922">
        <f>I311/H311*100</f>
        <v>177.63287108896935</v>
      </c>
    </row>
    <row r="312" spans="2:10" ht="13.5" customHeight="1" x14ac:dyDescent="0.2">
      <c r="B312" s="250"/>
      <c r="C312" s="256"/>
      <c r="D312" s="256"/>
      <c r="E312" s="256"/>
      <c r="F312" s="260"/>
      <c r="G312" s="260"/>
      <c r="H312" s="129"/>
      <c r="I312" s="129"/>
      <c r="J312" s="862"/>
    </row>
    <row r="313" spans="2:10" ht="13.5" customHeight="1" x14ac:dyDescent="0.2">
      <c r="B313" s="250"/>
      <c r="C313" s="256"/>
      <c r="D313" s="256"/>
      <c r="E313" s="256"/>
      <c r="F313" s="260"/>
      <c r="G313" s="260"/>
      <c r="H313" s="129"/>
      <c r="I313" s="129"/>
      <c r="J313" s="862"/>
    </row>
    <row r="314" spans="2:10" ht="13.5" customHeight="1" x14ac:dyDescent="0.2">
      <c r="B314" s="250"/>
      <c r="C314" s="256"/>
      <c r="D314" s="256"/>
      <c r="E314" s="256"/>
      <c r="F314" s="260"/>
      <c r="G314" s="260"/>
      <c r="H314" s="129"/>
      <c r="I314" s="129"/>
      <c r="J314" s="862"/>
    </row>
    <row r="315" spans="2:10" ht="13.5" thickBot="1" x14ac:dyDescent="0.25">
      <c r="B315" s="250"/>
      <c r="C315" s="256"/>
      <c r="D315" s="256"/>
      <c r="E315" s="256"/>
      <c r="F315" s="260"/>
      <c r="G315" s="261"/>
      <c r="H315" s="129"/>
      <c r="I315" s="129"/>
      <c r="J315" s="862"/>
    </row>
    <row r="316" spans="2:10" ht="12.75" customHeight="1" x14ac:dyDescent="0.2">
      <c r="B316" s="1106" t="s">
        <v>191</v>
      </c>
      <c r="C316" s="1115"/>
      <c r="D316" s="1115"/>
      <c r="E316" s="1115"/>
      <c r="F316" s="1115"/>
      <c r="G316" s="1115"/>
      <c r="H316" s="1101" t="s">
        <v>722</v>
      </c>
      <c r="I316" s="1101" t="s">
        <v>886</v>
      </c>
      <c r="J316" s="1112" t="s">
        <v>887</v>
      </c>
    </row>
    <row r="317" spans="2:10" ht="12.75" customHeight="1" x14ac:dyDescent="0.2">
      <c r="B317" s="1116"/>
      <c r="C317" s="1117"/>
      <c r="D317" s="1117"/>
      <c r="E317" s="1117"/>
      <c r="F317" s="1117"/>
      <c r="G317" s="1117"/>
      <c r="H317" s="1102"/>
      <c r="I317" s="1102"/>
      <c r="J317" s="1113"/>
    </row>
    <row r="318" spans="2:10" ht="17.25" customHeight="1" x14ac:dyDescent="0.2">
      <c r="B318" s="77"/>
      <c r="C318" s="78" t="s">
        <v>10</v>
      </c>
      <c r="D318" s="78" t="s">
        <v>11</v>
      </c>
      <c r="E318" s="78" t="s">
        <v>12</v>
      </c>
      <c r="F318" s="80"/>
      <c r="G318" s="79"/>
      <c r="H318" s="1102"/>
      <c r="I318" s="1102"/>
      <c r="J318" s="1113"/>
    </row>
    <row r="319" spans="2:10" ht="20.25" customHeight="1" thickBot="1" x14ac:dyDescent="0.25">
      <c r="B319" s="81"/>
      <c r="C319" s="82"/>
      <c r="D319" s="83"/>
      <c r="E319" s="82" t="s">
        <v>13</v>
      </c>
      <c r="F319" s="85"/>
      <c r="G319" s="311"/>
      <c r="H319" s="1103"/>
      <c r="I319" s="1103"/>
      <c r="J319" s="1114"/>
    </row>
    <row r="320" spans="2:10" ht="16.5" thickTop="1" x14ac:dyDescent="0.25">
      <c r="B320" s="90">
        <v>1</v>
      </c>
      <c r="C320" s="93"/>
      <c r="D320" s="93"/>
      <c r="E320" s="94"/>
      <c r="F320" s="95" t="s">
        <v>89</v>
      </c>
      <c r="G320" s="312"/>
      <c r="H320" s="610">
        <f>H289</f>
        <v>32911616</v>
      </c>
      <c r="I320" s="610">
        <f t="shared" ref="I320" si="48">I289</f>
        <v>34189884.850000001</v>
      </c>
      <c r="J320" s="948">
        <f>I320/H320*100</f>
        <v>103.88394434961808</v>
      </c>
    </row>
    <row r="321" spans="2:10" ht="16.5" thickBot="1" x14ac:dyDescent="0.3">
      <c r="B321" s="96">
        <f>B320+1</f>
        <v>2</v>
      </c>
      <c r="C321" s="97"/>
      <c r="D321" s="97"/>
      <c r="E321" s="98"/>
      <c r="F321" s="99" t="s">
        <v>185</v>
      </c>
      <c r="G321" s="313"/>
      <c r="H321" s="611">
        <f>H311</f>
        <v>1017283</v>
      </c>
      <c r="I321" s="611">
        <f t="shared" ref="I321" si="49">I311</f>
        <v>1807029</v>
      </c>
      <c r="J321" s="949">
        <f t="shared" ref="J321:J322" si="50">I321/H321*100</f>
        <v>177.63287108896935</v>
      </c>
    </row>
    <row r="322" spans="2:10" ht="17.25" thickTop="1" thickBot="1" x14ac:dyDescent="0.3">
      <c r="B322" s="100">
        <f>B321+1</f>
        <v>3</v>
      </c>
      <c r="C322" s="293"/>
      <c r="D322" s="294"/>
      <c r="E322" s="295"/>
      <c r="F322" s="296" t="s">
        <v>186</v>
      </c>
      <c r="G322" s="297"/>
      <c r="H322" s="612">
        <f>H320+H321</f>
        <v>33928899</v>
      </c>
      <c r="I322" s="612">
        <f t="shared" ref="I322" si="51">I320+I321</f>
        <v>35996913.850000001</v>
      </c>
      <c r="J322" s="950">
        <f t="shared" si="50"/>
        <v>106.09514281615799</v>
      </c>
    </row>
    <row r="323" spans="2:10" x14ac:dyDescent="0.2">
      <c r="F323" s="6"/>
      <c r="G323" s="6"/>
    </row>
    <row r="324" spans="2:10" x14ac:dyDescent="0.2">
      <c r="I324" s="17"/>
    </row>
  </sheetData>
  <sheetProtection selectLockedCells="1" selectUnlockedCells="1"/>
  <mergeCells count="31">
    <mergeCell ref="I316:I319"/>
    <mergeCell ref="J316:J319"/>
    <mergeCell ref="J152:J155"/>
    <mergeCell ref="I247:I250"/>
    <mergeCell ref="J247:J250"/>
    <mergeCell ref="I292:I295"/>
    <mergeCell ref="J292:J295"/>
    <mergeCell ref="H316:H319"/>
    <mergeCell ref="B316:G317"/>
    <mergeCell ref="C154:C155"/>
    <mergeCell ref="B247:G248"/>
    <mergeCell ref="C294:C295"/>
    <mergeCell ref="B292:G293"/>
    <mergeCell ref="H292:H295"/>
    <mergeCell ref="H152:H155"/>
    <mergeCell ref="B2:J2"/>
    <mergeCell ref="H3:H6"/>
    <mergeCell ref="H67:H70"/>
    <mergeCell ref="C249:C250"/>
    <mergeCell ref="H247:H250"/>
    <mergeCell ref="C5:C6"/>
    <mergeCell ref="B3:G4"/>
    <mergeCell ref="B67:G68"/>
    <mergeCell ref="B152:G153"/>
    <mergeCell ref="C69:C70"/>
    <mergeCell ref="F148:G148"/>
    <mergeCell ref="I3:I6"/>
    <mergeCell ref="J3:J6"/>
    <mergeCell ref="I67:I70"/>
    <mergeCell ref="J67:J70"/>
    <mergeCell ref="I152:I155"/>
  </mergeCells>
  <phoneticPr fontId="1" type="noConversion"/>
  <pageMargins left="0.78740157480314965" right="0.78740157480314965" top="0.15748031496062992" bottom="0.15748031496062992" header="0.15748031496062992" footer="0.1574803149606299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2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6.5703125" style="1025" customWidth="1"/>
    <col min="11" max="11" width="1.140625" style="76" customWidth="1"/>
    <col min="12" max="13" width="14.28515625" style="76" customWidth="1"/>
    <col min="14" max="14" width="6.140625" style="1025" customWidth="1"/>
    <col min="15" max="15" width="1.42578125" style="76" customWidth="1"/>
    <col min="16" max="17" width="12.85546875" style="76" customWidth="1"/>
    <col min="18" max="18" width="6.42578125" style="1025" customWidth="1"/>
  </cols>
  <sheetData>
    <row r="1" spans="2:18" ht="15" customHeight="1" x14ac:dyDescent="0.2">
      <c r="B1" s="306"/>
      <c r="C1" s="307"/>
      <c r="D1" s="129"/>
      <c r="E1" s="129"/>
      <c r="F1" s="129"/>
      <c r="G1" s="129"/>
      <c r="H1" s="249"/>
      <c r="I1" s="249"/>
      <c r="K1" s="249"/>
      <c r="L1" s="249"/>
      <c r="M1" s="249"/>
      <c r="O1" s="249"/>
      <c r="P1" s="249"/>
      <c r="Q1" s="249"/>
    </row>
    <row r="2" spans="2:18" ht="27.75" thickBot="1" x14ac:dyDescent="0.4">
      <c r="B2" s="248" t="s">
        <v>164</v>
      </c>
      <c r="C2" s="248"/>
      <c r="D2" s="248"/>
      <c r="E2" s="248"/>
      <c r="F2" s="248"/>
      <c r="G2" s="248"/>
      <c r="H2" s="248"/>
      <c r="I2" s="248"/>
      <c r="J2" s="1045"/>
      <c r="K2" s="248"/>
      <c r="L2" s="248"/>
      <c r="M2" s="248"/>
      <c r="N2" s="1045"/>
      <c r="O2" s="248"/>
      <c r="P2" s="248"/>
      <c r="Q2" s="248"/>
      <c r="R2" s="1045"/>
    </row>
    <row r="3" spans="2:18" ht="13.5" customHeight="1" thickBot="1" x14ac:dyDescent="0.25">
      <c r="B3" s="1131" t="s">
        <v>632</v>
      </c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3"/>
      <c r="O3" s="116"/>
      <c r="P3" s="1125" t="s">
        <v>716</v>
      </c>
      <c r="Q3" s="1125" t="s">
        <v>886</v>
      </c>
      <c r="R3" s="1128" t="s">
        <v>887</v>
      </c>
    </row>
    <row r="4" spans="2:18" ht="40.5" customHeight="1" thickTop="1" x14ac:dyDescent="0.2">
      <c r="B4" s="548"/>
      <c r="C4" s="1141" t="s">
        <v>478</v>
      </c>
      <c r="D4" s="1141" t="s">
        <v>477</v>
      </c>
      <c r="E4" s="1141" t="s">
        <v>475</v>
      </c>
      <c r="F4" s="1141" t="s">
        <v>476</v>
      </c>
      <c r="G4" s="550" t="s">
        <v>3</v>
      </c>
      <c r="H4" s="1135" t="s">
        <v>902</v>
      </c>
      <c r="I4" s="1135" t="s">
        <v>903</v>
      </c>
      <c r="J4" s="1139" t="s">
        <v>887</v>
      </c>
      <c r="L4" s="1137" t="s">
        <v>904</v>
      </c>
      <c r="M4" s="1137" t="s">
        <v>905</v>
      </c>
      <c r="N4" s="1139" t="s">
        <v>887</v>
      </c>
      <c r="P4" s="1126"/>
      <c r="Q4" s="1126"/>
      <c r="R4" s="1129"/>
    </row>
    <row r="5" spans="2:18" ht="21" customHeight="1" thickBot="1" x14ac:dyDescent="0.25">
      <c r="B5" s="925"/>
      <c r="C5" s="1124"/>
      <c r="D5" s="1124"/>
      <c r="E5" s="1124"/>
      <c r="F5" s="1124"/>
      <c r="G5" s="551"/>
      <c r="H5" s="1136"/>
      <c r="I5" s="1136"/>
      <c r="J5" s="1140"/>
      <c r="L5" s="1138"/>
      <c r="M5" s="1138"/>
      <c r="N5" s="1140"/>
      <c r="P5" s="1127"/>
      <c r="Q5" s="1127"/>
      <c r="R5" s="1130"/>
    </row>
    <row r="6" spans="2:18" ht="19.5" thickTop="1" thickBot="1" x14ac:dyDescent="0.25">
      <c r="B6" s="665">
        <v>1</v>
      </c>
      <c r="C6" s="121" t="s">
        <v>224</v>
      </c>
      <c r="D6" s="109"/>
      <c r="E6" s="109"/>
      <c r="F6" s="109"/>
      <c r="G6" s="191"/>
      <c r="H6" s="411">
        <f>H7+H21+H36+H51</f>
        <v>321150</v>
      </c>
      <c r="I6" s="411">
        <f>I7+I21+I36+I51</f>
        <v>289537</v>
      </c>
      <c r="J6" s="969">
        <f>I6/H6*100</f>
        <v>90.156313249260464</v>
      </c>
      <c r="K6" s="111"/>
      <c r="L6" s="406">
        <f>L7+L36+L21+L51</f>
        <v>21520</v>
      </c>
      <c r="M6" s="406">
        <f>M7+M36+M21+M51</f>
        <v>21325</v>
      </c>
      <c r="N6" s="1005">
        <f>M6/L6*100</f>
        <v>99.093866171003725</v>
      </c>
      <c r="O6" s="111"/>
      <c r="P6" s="371">
        <f t="shared" ref="P6:P30" si="0">H6+L6</f>
        <v>342670</v>
      </c>
      <c r="Q6" s="371">
        <f t="shared" ref="Q6:Q41" si="1">I6+M6</f>
        <v>310862</v>
      </c>
      <c r="R6" s="992">
        <f>Q6/P6*100</f>
        <v>90.71760002334608</v>
      </c>
    </row>
    <row r="7" spans="2:18" ht="16.5" thickTop="1" x14ac:dyDescent="0.25">
      <c r="B7" s="132">
        <f>B6+1</f>
        <v>2</v>
      </c>
      <c r="C7" s="23">
        <v>1</v>
      </c>
      <c r="D7" s="123" t="s">
        <v>315</v>
      </c>
      <c r="E7" s="24"/>
      <c r="F7" s="24"/>
      <c r="G7" s="192"/>
      <c r="H7" s="412">
        <f>H8+H9</f>
        <v>78500</v>
      </c>
      <c r="I7" s="412">
        <f t="shared" ref="I7" si="2">I8+I9</f>
        <v>78500</v>
      </c>
      <c r="J7" s="994">
        <f t="shared" ref="J7:J49" si="3">I7/H7*100</f>
        <v>100</v>
      </c>
      <c r="K7" s="86"/>
      <c r="L7" s="395">
        <f>L8+L9</f>
        <v>0</v>
      </c>
      <c r="M7" s="395">
        <f t="shared" ref="M7" si="4">M8+M9</f>
        <v>0</v>
      </c>
      <c r="N7" s="994">
        <v>0</v>
      </c>
      <c r="O7" s="86"/>
      <c r="P7" s="372">
        <f t="shared" si="0"/>
        <v>78500</v>
      </c>
      <c r="Q7" s="372">
        <f t="shared" si="1"/>
        <v>78500</v>
      </c>
      <c r="R7" s="981">
        <f t="shared" ref="R7:R51" si="5">Q7/P7*100</f>
        <v>100</v>
      </c>
    </row>
    <row r="8" spans="2:18" ht="12" customHeight="1" x14ac:dyDescent="0.2">
      <c r="B8" s="132">
        <f t="shared" ref="B8:B51" si="6">B7+1</f>
        <v>3</v>
      </c>
      <c r="C8" s="126"/>
      <c r="D8" s="127"/>
      <c r="E8" s="127" t="s">
        <v>670</v>
      </c>
      <c r="F8" s="127" t="s">
        <v>217</v>
      </c>
      <c r="G8" s="193" t="s">
        <v>284</v>
      </c>
      <c r="H8" s="570">
        <v>25000</v>
      </c>
      <c r="I8" s="570">
        <v>25000</v>
      </c>
      <c r="J8" s="966">
        <f t="shared" si="3"/>
        <v>100</v>
      </c>
      <c r="K8" s="128"/>
      <c r="L8" s="571"/>
      <c r="M8" s="571"/>
      <c r="N8" s="979"/>
      <c r="O8" s="128"/>
      <c r="P8" s="133">
        <f t="shared" si="0"/>
        <v>25000</v>
      </c>
      <c r="Q8" s="133">
        <f t="shared" si="1"/>
        <v>25000</v>
      </c>
      <c r="R8" s="983">
        <f t="shared" si="5"/>
        <v>100</v>
      </c>
    </row>
    <row r="9" spans="2:18" ht="12" customHeight="1" x14ac:dyDescent="0.2">
      <c r="B9" s="132">
        <f t="shared" si="6"/>
        <v>4</v>
      </c>
      <c r="C9" s="126"/>
      <c r="D9" s="308"/>
      <c r="E9" s="308" t="s">
        <v>670</v>
      </c>
      <c r="F9" s="666" t="s">
        <v>217</v>
      </c>
      <c r="G9" s="667" t="s">
        <v>436</v>
      </c>
      <c r="H9" s="571">
        <f>SUM(H10:H20)</f>
        <v>53500</v>
      </c>
      <c r="I9" s="571">
        <f>SUM(I10:I20)</f>
        <v>53500</v>
      </c>
      <c r="J9" s="979">
        <f t="shared" si="3"/>
        <v>100</v>
      </c>
      <c r="K9" s="128"/>
      <c r="L9" s="571"/>
      <c r="M9" s="571"/>
      <c r="N9" s="979"/>
      <c r="O9" s="128"/>
      <c r="P9" s="133">
        <f t="shared" si="0"/>
        <v>53500</v>
      </c>
      <c r="Q9" s="133">
        <f t="shared" si="1"/>
        <v>53500</v>
      </c>
      <c r="R9" s="983">
        <f t="shared" si="5"/>
        <v>100</v>
      </c>
    </row>
    <row r="10" spans="2:18" ht="12" customHeight="1" x14ac:dyDescent="0.2">
      <c r="B10" s="132">
        <f t="shared" si="6"/>
        <v>5</v>
      </c>
      <c r="C10" s="126"/>
      <c r="D10" s="292"/>
      <c r="E10" s="292"/>
      <c r="F10" s="668"/>
      <c r="G10" s="669" t="s">
        <v>574</v>
      </c>
      <c r="H10" s="671">
        <v>15000</v>
      </c>
      <c r="I10" s="671">
        <v>15000</v>
      </c>
      <c r="J10" s="1046">
        <f t="shared" si="3"/>
        <v>100</v>
      </c>
      <c r="K10" s="670"/>
      <c r="L10" s="671"/>
      <c r="M10" s="671"/>
      <c r="N10" s="1046"/>
      <c r="O10" s="670"/>
      <c r="P10" s="484">
        <f t="shared" si="0"/>
        <v>15000</v>
      </c>
      <c r="Q10" s="484">
        <f t="shared" si="1"/>
        <v>15000</v>
      </c>
      <c r="R10" s="1013">
        <f t="shared" si="5"/>
        <v>100</v>
      </c>
    </row>
    <row r="11" spans="2:18" ht="12" customHeight="1" x14ac:dyDescent="0.2">
      <c r="B11" s="132">
        <f t="shared" si="6"/>
        <v>6</v>
      </c>
      <c r="C11" s="126"/>
      <c r="D11" s="292"/>
      <c r="E11" s="292"/>
      <c r="F11" s="668"/>
      <c r="G11" s="669" t="s">
        <v>575</v>
      </c>
      <c r="H11" s="671">
        <f>10000+2500</f>
        <v>12500</v>
      </c>
      <c r="I11" s="671">
        <v>12500</v>
      </c>
      <c r="J11" s="1046">
        <f t="shared" si="3"/>
        <v>100</v>
      </c>
      <c r="K11" s="670"/>
      <c r="L11" s="671"/>
      <c r="M11" s="671"/>
      <c r="N11" s="1046"/>
      <c r="O11" s="670"/>
      <c r="P11" s="484">
        <f t="shared" si="0"/>
        <v>12500</v>
      </c>
      <c r="Q11" s="484">
        <f t="shared" si="1"/>
        <v>12500</v>
      </c>
      <c r="R11" s="1013">
        <f t="shared" si="5"/>
        <v>100</v>
      </c>
    </row>
    <row r="12" spans="2:18" ht="23.25" customHeight="1" x14ac:dyDescent="0.2">
      <c r="B12" s="132">
        <f t="shared" si="6"/>
        <v>7</v>
      </c>
      <c r="C12" s="126"/>
      <c r="D12" s="292"/>
      <c r="E12" s="292"/>
      <c r="F12" s="668"/>
      <c r="G12" s="669" t="s">
        <v>833</v>
      </c>
      <c r="H12" s="673">
        <v>12000</v>
      </c>
      <c r="I12" s="673">
        <v>12000</v>
      </c>
      <c r="J12" s="1046">
        <f t="shared" si="3"/>
        <v>100</v>
      </c>
      <c r="K12" s="670"/>
      <c r="L12" s="671"/>
      <c r="M12" s="671"/>
      <c r="N12" s="1046"/>
      <c r="O12" s="670"/>
      <c r="P12" s="484">
        <f t="shared" si="0"/>
        <v>12000</v>
      </c>
      <c r="Q12" s="484">
        <f t="shared" si="1"/>
        <v>12000</v>
      </c>
      <c r="R12" s="1013">
        <f t="shared" si="5"/>
        <v>100</v>
      </c>
    </row>
    <row r="13" spans="2:18" x14ac:dyDescent="0.2">
      <c r="B13" s="132">
        <f t="shared" si="6"/>
        <v>8</v>
      </c>
      <c r="C13" s="126"/>
      <c r="D13" s="693"/>
      <c r="E13" s="292"/>
      <c r="F13" s="668"/>
      <c r="G13" s="669" t="s">
        <v>749</v>
      </c>
      <c r="H13" s="671">
        <v>2000</v>
      </c>
      <c r="I13" s="671">
        <v>2000</v>
      </c>
      <c r="J13" s="1046">
        <f t="shared" si="3"/>
        <v>100</v>
      </c>
      <c r="K13" s="182"/>
      <c r="L13" s="570"/>
      <c r="M13" s="570"/>
      <c r="N13" s="966"/>
      <c r="O13" s="182"/>
      <c r="P13" s="572">
        <f t="shared" si="0"/>
        <v>2000</v>
      </c>
      <c r="Q13" s="572">
        <f t="shared" si="1"/>
        <v>2000</v>
      </c>
      <c r="R13" s="986">
        <f t="shared" si="5"/>
        <v>100</v>
      </c>
    </row>
    <row r="14" spans="2:18" x14ac:dyDescent="0.2">
      <c r="B14" s="132">
        <f t="shared" si="6"/>
        <v>9</v>
      </c>
      <c r="C14" s="126"/>
      <c r="D14" s="693"/>
      <c r="E14" s="292"/>
      <c r="F14" s="668"/>
      <c r="G14" s="669" t="s">
        <v>750</v>
      </c>
      <c r="H14" s="671">
        <v>900</v>
      </c>
      <c r="I14" s="671">
        <v>900</v>
      </c>
      <c r="J14" s="1046">
        <f t="shared" si="3"/>
        <v>100</v>
      </c>
      <c r="K14" s="182"/>
      <c r="L14" s="570"/>
      <c r="M14" s="570"/>
      <c r="N14" s="966"/>
      <c r="O14" s="182"/>
      <c r="P14" s="572">
        <f t="shared" si="0"/>
        <v>900</v>
      </c>
      <c r="Q14" s="572">
        <f t="shared" si="1"/>
        <v>900</v>
      </c>
      <c r="R14" s="986">
        <f t="shared" si="5"/>
        <v>100</v>
      </c>
    </row>
    <row r="15" spans="2:18" x14ac:dyDescent="0.2">
      <c r="B15" s="132">
        <f t="shared" si="6"/>
        <v>10</v>
      </c>
      <c r="C15" s="126"/>
      <c r="D15" s="693"/>
      <c r="E15" s="292"/>
      <c r="F15" s="668"/>
      <c r="G15" s="669" t="s">
        <v>751</v>
      </c>
      <c r="H15" s="671">
        <v>1200</v>
      </c>
      <c r="I15" s="671">
        <v>1200</v>
      </c>
      <c r="J15" s="1046">
        <f t="shared" si="3"/>
        <v>100</v>
      </c>
      <c r="K15" s="182"/>
      <c r="L15" s="570"/>
      <c r="M15" s="570"/>
      <c r="N15" s="966"/>
      <c r="O15" s="182"/>
      <c r="P15" s="572">
        <f t="shared" si="0"/>
        <v>1200</v>
      </c>
      <c r="Q15" s="572">
        <f t="shared" si="1"/>
        <v>1200</v>
      </c>
      <c r="R15" s="986">
        <f t="shared" si="5"/>
        <v>100</v>
      </c>
    </row>
    <row r="16" spans="2:18" x14ac:dyDescent="0.2">
      <c r="B16" s="132">
        <f t="shared" si="6"/>
        <v>11</v>
      </c>
      <c r="C16" s="126"/>
      <c r="D16" s="693"/>
      <c r="E16" s="292"/>
      <c r="F16" s="668"/>
      <c r="G16" s="669" t="s">
        <v>752</v>
      </c>
      <c r="H16" s="671">
        <v>3000</v>
      </c>
      <c r="I16" s="671">
        <v>3000</v>
      </c>
      <c r="J16" s="1046">
        <f t="shared" si="3"/>
        <v>100</v>
      </c>
      <c r="K16" s="182"/>
      <c r="L16" s="570"/>
      <c r="M16" s="570"/>
      <c r="N16" s="966"/>
      <c r="O16" s="182"/>
      <c r="P16" s="572">
        <f t="shared" si="0"/>
        <v>3000</v>
      </c>
      <c r="Q16" s="572">
        <f t="shared" si="1"/>
        <v>3000</v>
      </c>
      <c r="R16" s="986">
        <f t="shared" si="5"/>
        <v>100</v>
      </c>
    </row>
    <row r="17" spans="2:20" x14ac:dyDescent="0.2">
      <c r="B17" s="132">
        <f t="shared" si="6"/>
        <v>12</v>
      </c>
      <c r="C17" s="126"/>
      <c r="D17" s="693"/>
      <c r="E17" s="292"/>
      <c r="F17" s="668"/>
      <c r="G17" s="669" t="s">
        <v>753</v>
      </c>
      <c r="H17" s="671">
        <v>1500</v>
      </c>
      <c r="I17" s="671">
        <v>1500</v>
      </c>
      <c r="J17" s="1046">
        <f t="shared" si="3"/>
        <v>100</v>
      </c>
      <c r="K17" s="182"/>
      <c r="L17" s="570"/>
      <c r="M17" s="570"/>
      <c r="N17" s="966"/>
      <c r="O17" s="182"/>
      <c r="P17" s="572">
        <f t="shared" si="0"/>
        <v>1500</v>
      </c>
      <c r="Q17" s="572">
        <f t="shared" si="1"/>
        <v>1500</v>
      </c>
      <c r="R17" s="986">
        <f t="shared" si="5"/>
        <v>100</v>
      </c>
    </row>
    <row r="18" spans="2:20" x14ac:dyDescent="0.2">
      <c r="B18" s="132">
        <f t="shared" si="6"/>
        <v>13</v>
      </c>
      <c r="C18" s="126"/>
      <c r="D18" s="693"/>
      <c r="E18" s="292"/>
      <c r="F18" s="668"/>
      <c r="G18" s="669" t="s">
        <v>754</v>
      </c>
      <c r="H18" s="671">
        <v>1600</v>
      </c>
      <c r="I18" s="671">
        <v>1600</v>
      </c>
      <c r="J18" s="1046">
        <f t="shared" si="3"/>
        <v>100</v>
      </c>
      <c r="K18" s="182"/>
      <c r="L18" s="570"/>
      <c r="M18" s="570"/>
      <c r="N18" s="966"/>
      <c r="O18" s="182"/>
      <c r="P18" s="572">
        <f t="shared" si="0"/>
        <v>1600</v>
      </c>
      <c r="Q18" s="572">
        <f t="shared" si="1"/>
        <v>1600</v>
      </c>
      <c r="R18" s="986">
        <f t="shared" si="5"/>
        <v>100</v>
      </c>
    </row>
    <row r="19" spans="2:20" ht="22.5" x14ac:dyDescent="0.2">
      <c r="B19" s="132">
        <f t="shared" si="6"/>
        <v>14</v>
      </c>
      <c r="C19" s="126"/>
      <c r="D19" s="693"/>
      <c r="E19" s="292"/>
      <c r="F19" s="668"/>
      <c r="G19" s="669" t="s">
        <v>755</v>
      </c>
      <c r="H19" s="671">
        <v>2100</v>
      </c>
      <c r="I19" s="671">
        <v>2100</v>
      </c>
      <c r="J19" s="1046">
        <f t="shared" si="3"/>
        <v>100</v>
      </c>
      <c r="K19" s="182"/>
      <c r="L19" s="570"/>
      <c r="M19" s="570"/>
      <c r="N19" s="966"/>
      <c r="O19" s="182"/>
      <c r="P19" s="484">
        <f t="shared" si="0"/>
        <v>2100</v>
      </c>
      <c r="Q19" s="484">
        <f t="shared" si="1"/>
        <v>2100</v>
      </c>
      <c r="R19" s="1013">
        <f t="shared" si="5"/>
        <v>100</v>
      </c>
    </row>
    <row r="20" spans="2:20" ht="22.5" x14ac:dyDescent="0.2">
      <c r="B20" s="132">
        <f t="shared" si="6"/>
        <v>15</v>
      </c>
      <c r="C20" s="126"/>
      <c r="D20" s="693"/>
      <c r="E20" s="292"/>
      <c r="F20" s="668"/>
      <c r="G20" s="669" t="s">
        <v>867</v>
      </c>
      <c r="H20" s="671">
        <v>1700</v>
      </c>
      <c r="I20" s="671">
        <v>1700</v>
      </c>
      <c r="J20" s="1046">
        <f t="shared" si="3"/>
        <v>100</v>
      </c>
      <c r="K20" s="182"/>
      <c r="L20" s="570"/>
      <c r="M20" s="570"/>
      <c r="N20" s="966"/>
      <c r="O20" s="182"/>
      <c r="P20" s="484">
        <f t="shared" ref="P20" si="7">H20+L20</f>
        <v>1700</v>
      </c>
      <c r="Q20" s="484">
        <f t="shared" si="1"/>
        <v>1700</v>
      </c>
      <c r="R20" s="1013">
        <f t="shared" si="5"/>
        <v>100</v>
      </c>
    </row>
    <row r="21" spans="2:20" ht="15.75" x14ac:dyDescent="0.25">
      <c r="B21" s="132">
        <f t="shared" si="6"/>
        <v>16</v>
      </c>
      <c r="C21" s="23">
        <v>2</v>
      </c>
      <c r="D21" s="672" t="s">
        <v>314</v>
      </c>
      <c r="E21" s="22"/>
      <c r="F21" s="22"/>
      <c r="G21" s="194"/>
      <c r="H21" s="413">
        <f>H22+H34+H35</f>
        <v>79050</v>
      </c>
      <c r="I21" s="413">
        <f t="shared" ref="I21" si="8">I22+I34+I35</f>
        <v>74193</v>
      </c>
      <c r="J21" s="972">
        <f t="shared" si="3"/>
        <v>93.855787476280838</v>
      </c>
      <c r="K21" s="247"/>
      <c r="L21" s="380">
        <v>0</v>
      </c>
      <c r="M21" s="380">
        <v>0</v>
      </c>
      <c r="N21" s="972">
        <v>0</v>
      </c>
      <c r="O21" s="247"/>
      <c r="P21" s="373">
        <f t="shared" si="0"/>
        <v>79050</v>
      </c>
      <c r="Q21" s="373">
        <f t="shared" si="1"/>
        <v>74193</v>
      </c>
      <c r="R21" s="984">
        <f t="shared" si="5"/>
        <v>93.855787476280838</v>
      </c>
    </row>
    <row r="22" spans="2:20" ht="12" customHeight="1" x14ac:dyDescent="0.2">
      <c r="B22" s="132">
        <f t="shared" si="6"/>
        <v>17</v>
      </c>
      <c r="C22" s="126"/>
      <c r="D22" s="126"/>
      <c r="E22" s="127" t="s">
        <v>670</v>
      </c>
      <c r="F22" s="143" t="s">
        <v>216</v>
      </c>
      <c r="G22" s="201" t="s">
        <v>309</v>
      </c>
      <c r="H22" s="444">
        <f>SUM(H23:H33)</f>
        <v>73190</v>
      </c>
      <c r="I22" s="444">
        <f t="shared" ref="I22" si="9">SUM(I23:I33)</f>
        <v>69194</v>
      </c>
      <c r="J22" s="995">
        <f t="shared" si="3"/>
        <v>94.540237737395813</v>
      </c>
      <c r="K22" s="128"/>
      <c r="L22" s="381"/>
      <c r="M22" s="381"/>
      <c r="N22" s="978"/>
      <c r="O22" s="128"/>
      <c r="P22" s="161">
        <f t="shared" si="0"/>
        <v>73190</v>
      </c>
      <c r="Q22" s="161">
        <f t="shared" si="1"/>
        <v>69194</v>
      </c>
      <c r="R22" s="1000">
        <f t="shared" si="5"/>
        <v>94.540237737395813</v>
      </c>
    </row>
    <row r="23" spans="2:20" ht="12" customHeight="1" x14ac:dyDescent="0.2">
      <c r="B23" s="132">
        <f t="shared" si="6"/>
        <v>18</v>
      </c>
      <c r="C23" s="126"/>
      <c r="D23" s="127"/>
      <c r="E23" s="127"/>
      <c r="F23" s="127"/>
      <c r="G23" s="193" t="s">
        <v>310</v>
      </c>
      <c r="H23" s="570">
        <f>9000-840</f>
        <v>8160</v>
      </c>
      <c r="I23" s="570">
        <v>7927</v>
      </c>
      <c r="J23" s="966">
        <f t="shared" si="3"/>
        <v>97.144607843137251</v>
      </c>
      <c r="K23" s="128"/>
      <c r="L23" s="571"/>
      <c r="M23" s="571"/>
      <c r="N23" s="976"/>
      <c r="O23" s="128"/>
      <c r="P23" s="133">
        <f t="shared" si="0"/>
        <v>8160</v>
      </c>
      <c r="Q23" s="133">
        <f t="shared" si="1"/>
        <v>7927</v>
      </c>
      <c r="R23" s="983">
        <f t="shared" si="5"/>
        <v>97.144607843137251</v>
      </c>
    </row>
    <row r="24" spans="2:20" ht="12" customHeight="1" x14ac:dyDescent="0.2">
      <c r="B24" s="132">
        <f t="shared" si="6"/>
        <v>19</v>
      </c>
      <c r="C24" s="126"/>
      <c r="D24" s="127"/>
      <c r="E24" s="127"/>
      <c r="F24" s="127"/>
      <c r="G24" s="193" t="s">
        <v>311</v>
      </c>
      <c r="H24" s="570">
        <f>4500-1500+6240</f>
        <v>9240</v>
      </c>
      <c r="I24" s="570">
        <v>6682</v>
      </c>
      <c r="J24" s="966">
        <f t="shared" si="3"/>
        <v>72.316017316017309</v>
      </c>
      <c r="K24" s="128"/>
      <c r="L24" s="571"/>
      <c r="M24" s="571"/>
      <c r="N24" s="976"/>
      <c r="O24" s="128"/>
      <c r="P24" s="133">
        <f t="shared" si="0"/>
        <v>9240</v>
      </c>
      <c r="Q24" s="133">
        <f t="shared" si="1"/>
        <v>6682</v>
      </c>
      <c r="R24" s="983">
        <f t="shared" si="5"/>
        <v>72.316017316017309</v>
      </c>
      <c r="T24" s="17"/>
    </row>
    <row r="25" spans="2:20" ht="12" customHeight="1" x14ac:dyDescent="0.2">
      <c r="B25" s="132">
        <f t="shared" si="6"/>
        <v>20</v>
      </c>
      <c r="C25" s="126"/>
      <c r="D25" s="127"/>
      <c r="E25" s="127"/>
      <c r="F25" s="127"/>
      <c r="G25" s="193" t="s">
        <v>312</v>
      </c>
      <c r="H25" s="570">
        <f>9800+2000+500-360</f>
        <v>11940</v>
      </c>
      <c r="I25" s="570">
        <v>11940</v>
      </c>
      <c r="J25" s="966">
        <f t="shared" si="3"/>
        <v>100</v>
      </c>
      <c r="K25" s="128"/>
      <c r="L25" s="571"/>
      <c r="M25" s="571"/>
      <c r="N25" s="976"/>
      <c r="O25" s="128"/>
      <c r="P25" s="133">
        <f t="shared" si="0"/>
        <v>11940</v>
      </c>
      <c r="Q25" s="133">
        <f t="shared" si="1"/>
        <v>11940</v>
      </c>
      <c r="R25" s="983">
        <f t="shared" si="5"/>
        <v>100</v>
      </c>
    </row>
    <row r="26" spans="2:20" ht="12" customHeight="1" x14ac:dyDescent="0.2">
      <c r="B26" s="132">
        <f t="shared" si="6"/>
        <v>21</v>
      </c>
      <c r="C26" s="126"/>
      <c r="D26" s="127"/>
      <c r="E26" s="127"/>
      <c r="F26" s="127"/>
      <c r="G26" s="193" t="s">
        <v>647</v>
      </c>
      <c r="H26" s="570">
        <f>10000-5000-1810</f>
        <v>3190</v>
      </c>
      <c r="I26" s="570">
        <v>3190</v>
      </c>
      <c r="J26" s="966">
        <f t="shared" si="3"/>
        <v>100</v>
      </c>
      <c r="K26" s="128"/>
      <c r="L26" s="571"/>
      <c r="M26" s="571"/>
      <c r="N26" s="976"/>
      <c r="O26" s="128"/>
      <c r="P26" s="133">
        <f t="shared" si="0"/>
        <v>3190</v>
      </c>
      <c r="Q26" s="133">
        <f t="shared" si="1"/>
        <v>3190</v>
      </c>
      <c r="R26" s="983">
        <f t="shared" si="5"/>
        <v>100</v>
      </c>
    </row>
    <row r="27" spans="2:20" ht="12" customHeight="1" x14ac:dyDescent="0.2">
      <c r="B27" s="132">
        <f t="shared" si="6"/>
        <v>22</v>
      </c>
      <c r="C27" s="126"/>
      <c r="D27" s="127"/>
      <c r="E27" s="127"/>
      <c r="F27" s="127"/>
      <c r="G27" s="193" t="s">
        <v>649</v>
      </c>
      <c r="H27" s="570">
        <f>10000-1600</f>
        <v>8400</v>
      </c>
      <c r="I27" s="570">
        <v>8400</v>
      </c>
      <c r="J27" s="966">
        <f t="shared" si="3"/>
        <v>100</v>
      </c>
      <c r="K27" s="128"/>
      <c r="L27" s="571"/>
      <c r="M27" s="571"/>
      <c r="N27" s="976"/>
      <c r="O27" s="128"/>
      <c r="P27" s="133">
        <f t="shared" si="0"/>
        <v>8400</v>
      </c>
      <c r="Q27" s="133">
        <f t="shared" si="1"/>
        <v>8400</v>
      </c>
      <c r="R27" s="983">
        <f t="shared" si="5"/>
        <v>100</v>
      </c>
    </row>
    <row r="28" spans="2:20" ht="12" customHeight="1" x14ac:dyDescent="0.2">
      <c r="B28" s="132">
        <f t="shared" si="6"/>
        <v>23</v>
      </c>
      <c r="C28" s="126"/>
      <c r="D28" s="127"/>
      <c r="E28" s="127"/>
      <c r="F28" s="127"/>
      <c r="G28" s="193" t="s">
        <v>590</v>
      </c>
      <c r="H28" s="570">
        <v>2000</v>
      </c>
      <c r="I28" s="570">
        <v>2000</v>
      </c>
      <c r="J28" s="966">
        <f t="shared" si="3"/>
        <v>100</v>
      </c>
      <c r="K28" s="128"/>
      <c r="L28" s="571"/>
      <c r="M28" s="571"/>
      <c r="N28" s="976"/>
      <c r="O28" s="128"/>
      <c r="P28" s="133">
        <f t="shared" si="0"/>
        <v>2000</v>
      </c>
      <c r="Q28" s="133">
        <f t="shared" si="1"/>
        <v>2000</v>
      </c>
      <c r="R28" s="983">
        <f t="shared" si="5"/>
        <v>100</v>
      </c>
    </row>
    <row r="29" spans="2:20" ht="12" customHeight="1" x14ac:dyDescent="0.2">
      <c r="B29" s="132">
        <f t="shared" si="6"/>
        <v>24</v>
      </c>
      <c r="C29" s="126"/>
      <c r="D29" s="127"/>
      <c r="E29" s="127"/>
      <c r="F29" s="127"/>
      <c r="G29" s="193" t="s">
        <v>527</v>
      </c>
      <c r="H29" s="570">
        <f>2000+600-1025</f>
        <v>1575</v>
      </c>
      <c r="I29" s="570">
        <v>1575</v>
      </c>
      <c r="J29" s="966">
        <f t="shared" si="3"/>
        <v>100</v>
      </c>
      <c r="K29" s="128"/>
      <c r="L29" s="571"/>
      <c r="M29" s="571"/>
      <c r="N29" s="976"/>
      <c r="O29" s="128"/>
      <c r="P29" s="133">
        <f t="shared" si="0"/>
        <v>1575</v>
      </c>
      <c r="Q29" s="133">
        <f t="shared" si="1"/>
        <v>1575</v>
      </c>
      <c r="R29" s="983">
        <f t="shared" si="5"/>
        <v>100</v>
      </c>
    </row>
    <row r="30" spans="2:20" ht="12" customHeight="1" x14ac:dyDescent="0.2">
      <c r="B30" s="132">
        <f t="shared" si="6"/>
        <v>25</v>
      </c>
      <c r="C30" s="126"/>
      <c r="D30" s="127"/>
      <c r="E30" s="127"/>
      <c r="F30" s="127"/>
      <c r="G30" s="193" t="s">
        <v>528</v>
      </c>
      <c r="H30" s="570">
        <f>12000+5625+2310+250</f>
        <v>20185</v>
      </c>
      <c r="I30" s="570">
        <v>18981</v>
      </c>
      <c r="J30" s="966">
        <f t="shared" si="3"/>
        <v>94.035174634629669</v>
      </c>
      <c r="K30" s="128"/>
      <c r="L30" s="571"/>
      <c r="M30" s="571"/>
      <c r="N30" s="976"/>
      <c r="O30" s="128"/>
      <c r="P30" s="133">
        <f t="shared" si="0"/>
        <v>20185</v>
      </c>
      <c r="Q30" s="133">
        <f t="shared" si="1"/>
        <v>18981</v>
      </c>
      <c r="R30" s="983">
        <f t="shared" si="5"/>
        <v>94.035174634629669</v>
      </c>
    </row>
    <row r="31" spans="2:20" ht="12" customHeight="1" x14ac:dyDescent="0.2">
      <c r="B31" s="132">
        <f t="shared" si="6"/>
        <v>26</v>
      </c>
      <c r="C31" s="126"/>
      <c r="D31" s="127"/>
      <c r="E31" s="127"/>
      <c r="F31" s="127"/>
      <c r="G31" s="193" t="s">
        <v>313</v>
      </c>
      <c r="H31" s="570">
        <v>6000</v>
      </c>
      <c r="I31" s="570">
        <v>5999</v>
      </c>
      <c r="J31" s="966">
        <f t="shared" si="3"/>
        <v>99.983333333333334</v>
      </c>
      <c r="K31" s="128"/>
      <c r="L31" s="571"/>
      <c r="M31" s="571"/>
      <c r="N31" s="976"/>
      <c r="O31" s="128"/>
      <c r="P31" s="133">
        <f>H31+L31</f>
        <v>6000</v>
      </c>
      <c r="Q31" s="133">
        <f t="shared" si="1"/>
        <v>5999</v>
      </c>
      <c r="R31" s="983">
        <f t="shared" si="5"/>
        <v>99.983333333333334</v>
      </c>
    </row>
    <row r="32" spans="2:20" ht="12" customHeight="1" x14ac:dyDescent="0.2">
      <c r="B32" s="132">
        <f t="shared" si="6"/>
        <v>27</v>
      </c>
      <c r="C32" s="126"/>
      <c r="D32" s="127"/>
      <c r="E32" s="127"/>
      <c r="F32" s="127"/>
      <c r="G32" s="193" t="s">
        <v>648</v>
      </c>
      <c r="H32" s="570">
        <v>1500</v>
      </c>
      <c r="I32" s="570">
        <v>1500</v>
      </c>
      <c r="J32" s="966">
        <f t="shared" si="3"/>
        <v>100</v>
      </c>
      <c r="K32" s="128"/>
      <c r="L32" s="571"/>
      <c r="M32" s="571"/>
      <c r="N32" s="976"/>
      <c r="O32" s="128"/>
      <c r="P32" s="133">
        <f>H32+L32</f>
        <v>1500</v>
      </c>
      <c r="Q32" s="133">
        <f t="shared" si="1"/>
        <v>1500</v>
      </c>
      <c r="R32" s="983">
        <f t="shared" si="5"/>
        <v>100</v>
      </c>
    </row>
    <row r="33" spans="2:18" ht="12" customHeight="1" x14ac:dyDescent="0.2">
      <c r="B33" s="132">
        <f t="shared" si="6"/>
        <v>28</v>
      </c>
      <c r="C33" s="126"/>
      <c r="D33" s="127"/>
      <c r="E33" s="127"/>
      <c r="F33" s="127"/>
      <c r="G33" s="193" t="s">
        <v>609</v>
      </c>
      <c r="H33" s="570">
        <f>500+500</f>
        <v>1000</v>
      </c>
      <c r="I33" s="570">
        <v>1000</v>
      </c>
      <c r="J33" s="966">
        <f t="shared" si="3"/>
        <v>100</v>
      </c>
      <c r="K33" s="128"/>
      <c r="L33" s="571"/>
      <c r="M33" s="571"/>
      <c r="N33" s="976"/>
      <c r="O33" s="128"/>
      <c r="P33" s="133">
        <f>H33+L33</f>
        <v>1000</v>
      </c>
      <c r="Q33" s="133">
        <f t="shared" si="1"/>
        <v>1000</v>
      </c>
      <c r="R33" s="983">
        <f t="shared" si="5"/>
        <v>100</v>
      </c>
    </row>
    <row r="34" spans="2:18" ht="12" customHeight="1" x14ac:dyDescent="0.2">
      <c r="B34" s="132">
        <f t="shared" si="6"/>
        <v>29</v>
      </c>
      <c r="C34" s="126"/>
      <c r="D34" s="127"/>
      <c r="E34" s="127" t="s">
        <v>670</v>
      </c>
      <c r="F34" s="143" t="s">
        <v>200</v>
      </c>
      <c r="G34" s="201" t="s">
        <v>591</v>
      </c>
      <c r="H34" s="570">
        <v>3600</v>
      </c>
      <c r="I34" s="570">
        <v>2739</v>
      </c>
      <c r="J34" s="966">
        <f t="shared" si="3"/>
        <v>76.083333333333343</v>
      </c>
      <c r="K34" s="128"/>
      <c r="L34" s="571"/>
      <c r="M34" s="571"/>
      <c r="N34" s="979"/>
      <c r="O34" s="128"/>
      <c r="P34" s="133">
        <f>H34+L34</f>
        <v>3600</v>
      </c>
      <c r="Q34" s="133">
        <f t="shared" si="1"/>
        <v>2739</v>
      </c>
      <c r="R34" s="983">
        <f t="shared" si="5"/>
        <v>76.083333333333343</v>
      </c>
    </row>
    <row r="35" spans="2:18" ht="12" customHeight="1" x14ac:dyDescent="0.2">
      <c r="B35" s="132">
        <f t="shared" si="6"/>
        <v>30</v>
      </c>
      <c r="C35" s="126"/>
      <c r="D35" s="179"/>
      <c r="E35" s="292" t="s">
        <v>670</v>
      </c>
      <c r="F35" s="286" t="s">
        <v>200</v>
      </c>
      <c r="G35" s="201" t="s">
        <v>813</v>
      </c>
      <c r="H35" s="570">
        <f>1500+760</f>
        <v>2260</v>
      </c>
      <c r="I35" s="570">
        <v>2260</v>
      </c>
      <c r="J35" s="966">
        <f t="shared" si="3"/>
        <v>100</v>
      </c>
      <c r="K35" s="128"/>
      <c r="L35" s="570"/>
      <c r="M35" s="570"/>
      <c r="N35" s="966"/>
      <c r="O35" s="182"/>
      <c r="P35" s="572">
        <f>H35+L35</f>
        <v>2260</v>
      </c>
      <c r="Q35" s="572">
        <f t="shared" si="1"/>
        <v>2260</v>
      </c>
      <c r="R35" s="986">
        <f t="shared" si="5"/>
        <v>100</v>
      </c>
    </row>
    <row r="36" spans="2:18" ht="15.75" x14ac:dyDescent="0.25">
      <c r="B36" s="132">
        <f t="shared" si="6"/>
        <v>31</v>
      </c>
      <c r="C36" s="21">
        <v>3</v>
      </c>
      <c r="D36" s="122" t="s">
        <v>109</v>
      </c>
      <c r="E36" s="22"/>
      <c r="F36" s="22"/>
      <c r="G36" s="194"/>
      <c r="H36" s="413">
        <f>H37+H43+H44+H45+H47+H48+H46+H49</f>
        <v>163600</v>
      </c>
      <c r="I36" s="413">
        <f t="shared" ref="I36" si="10">I37+I43+I44+I45+I47+I48+I46+I49</f>
        <v>136844</v>
      </c>
      <c r="J36" s="972">
        <f t="shared" si="3"/>
        <v>83.645476772616135</v>
      </c>
      <c r="K36" s="110"/>
      <c r="L36" s="378">
        <f>SUM(L37:L50)</f>
        <v>3200</v>
      </c>
      <c r="M36" s="378">
        <f>M50</f>
        <v>3014</v>
      </c>
      <c r="N36" s="971">
        <f>M36/L36*100</f>
        <v>94.1875</v>
      </c>
      <c r="O36" s="110"/>
      <c r="P36" s="372">
        <f t="shared" ref="P36:P41" si="11">H36+L36</f>
        <v>166800</v>
      </c>
      <c r="Q36" s="372">
        <f t="shared" si="1"/>
        <v>139858</v>
      </c>
      <c r="R36" s="981">
        <f t="shared" si="5"/>
        <v>83.84772182254197</v>
      </c>
    </row>
    <row r="37" spans="2:18" x14ac:dyDescent="0.2">
      <c r="B37" s="132">
        <f t="shared" si="6"/>
        <v>32</v>
      </c>
      <c r="C37" s="126"/>
      <c r="D37" s="126"/>
      <c r="E37" s="127" t="s">
        <v>670</v>
      </c>
      <c r="F37" s="226" t="s">
        <v>473</v>
      </c>
      <c r="G37" s="226"/>
      <c r="H37" s="386">
        <f>SUM(H38:H41)</f>
        <v>130000</v>
      </c>
      <c r="I37" s="386">
        <f t="shared" ref="I37" si="12">SUM(I38:I41)</f>
        <v>109200</v>
      </c>
      <c r="J37" s="965">
        <f t="shared" si="3"/>
        <v>84</v>
      </c>
      <c r="K37" s="128"/>
      <c r="L37" s="570"/>
      <c r="M37" s="570"/>
      <c r="N37" s="966"/>
      <c r="O37" s="128"/>
      <c r="P37" s="271">
        <f t="shared" si="11"/>
        <v>130000</v>
      </c>
      <c r="Q37" s="271">
        <f t="shared" si="1"/>
        <v>109200</v>
      </c>
      <c r="R37" s="1001">
        <f t="shared" si="5"/>
        <v>84</v>
      </c>
    </row>
    <row r="38" spans="2:18" ht="12" customHeight="1" x14ac:dyDescent="0.2">
      <c r="B38" s="132">
        <f t="shared" si="6"/>
        <v>33</v>
      </c>
      <c r="C38" s="126"/>
      <c r="D38" s="126"/>
      <c r="E38" s="157"/>
      <c r="F38" s="130">
        <v>632</v>
      </c>
      <c r="G38" s="193" t="s">
        <v>246</v>
      </c>
      <c r="H38" s="570">
        <v>114000</v>
      </c>
      <c r="I38" s="570">
        <v>96682</v>
      </c>
      <c r="J38" s="966">
        <f t="shared" si="3"/>
        <v>84.808771929824573</v>
      </c>
      <c r="K38" s="128"/>
      <c r="L38" s="570"/>
      <c r="M38" s="570"/>
      <c r="N38" s="966"/>
      <c r="O38" s="128"/>
      <c r="P38" s="572">
        <f t="shared" si="11"/>
        <v>114000</v>
      </c>
      <c r="Q38" s="572">
        <f t="shared" si="1"/>
        <v>96682</v>
      </c>
      <c r="R38" s="986">
        <f t="shared" si="5"/>
        <v>84.808771929824573</v>
      </c>
    </row>
    <row r="39" spans="2:18" ht="12" customHeight="1" x14ac:dyDescent="0.2">
      <c r="B39" s="132">
        <f t="shared" si="6"/>
        <v>34</v>
      </c>
      <c r="C39" s="126"/>
      <c r="D39" s="126"/>
      <c r="E39" s="157"/>
      <c r="F39" s="130">
        <v>633</v>
      </c>
      <c r="G39" s="193" t="s">
        <v>247</v>
      </c>
      <c r="H39" s="570">
        <v>2500</v>
      </c>
      <c r="I39" s="570">
        <v>1747</v>
      </c>
      <c r="J39" s="966">
        <f t="shared" si="3"/>
        <v>69.88</v>
      </c>
      <c r="K39" s="128"/>
      <c r="L39" s="570"/>
      <c r="M39" s="570"/>
      <c r="N39" s="966"/>
      <c r="O39" s="128"/>
      <c r="P39" s="572">
        <f t="shared" si="11"/>
        <v>2500</v>
      </c>
      <c r="Q39" s="572">
        <f t="shared" si="1"/>
        <v>1747</v>
      </c>
      <c r="R39" s="986">
        <f t="shared" si="5"/>
        <v>69.88</v>
      </c>
    </row>
    <row r="40" spans="2:18" ht="12" customHeight="1" x14ac:dyDescent="0.2">
      <c r="B40" s="132">
        <f t="shared" si="6"/>
        <v>35</v>
      </c>
      <c r="C40" s="126"/>
      <c r="D40" s="126"/>
      <c r="E40" s="157"/>
      <c r="F40" s="130">
        <v>635</v>
      </c>
      <c r="G40" s="193" t="s">
        <v>261</v>
      </c>
      <c r="H40" s="570">
        <f>13500-3000</f>
        <v>10500</v>
      </c>
      <c r="I40" s="570">
        <v>8345</v>
      </c>
      <c r="J40" s="966">
        <f t="shared" si="3"/>
        <v>79.476190476190482</v>
      </c>
      <c r="K40" s="128"/>
      <c r="L40" s="570"/>
      <c r="M40" s="570"/>
      <c r="N40" s="966"/>
      <c r="O40" s="128"/>
      <c r="P40" s="572">
        <f t="shared" si="11"/>
        <v>10500</v>
      </c>
      <c r="Q40" s="572">
        <f t="shared" si="1"/>
        <v>8345</v>
      </c>
      <c r="R40" s="986">
        <f t="shared" si="5"/>
        <v>79.476190476190482</v>
      </c>
    </row>
    <row r="41" spans="2:18" ht="12" customHeight="1" x14ac:dyDescent="0.2">
      <c r="B41" s="132">
        <f t="shared" si="6"/>
        <v>36</v>
      </c>
      <c r="C41" s="126"/>
      <c r="D41" s="126"/>
      <c r="E41" s="157"/>
      <c r="F41" s="130">
        <v>637</v>
      </c>
      <c r="G41" s="193" t="s">
        <v>248</v>
      </c>
      <c r="H41" s="570">
        <v>3000</v>
      </c>
      <c r="I41" s="570">
        <v>2426</v>
      </c>
      <c r="J41" s="966">
        <f t="shared" si="3"/>
        <v>80.86666666666666</v>
      </c>
      <c r="K41" s="128"/>
      <c r="L41" s="570"/>
      <c r="M41" s="570"/>
      <c r="N41" s="966"/>
      <c r="O41" s="128"/>
      <c r="P41" s="572">
        <f t="shared" si="11"/>
        <v>3000</v>
      </c>
      <c r="Q41" s="572">
        <f t="shared" si="1"/>
        <v>2426</v>
      </c>
      <c r="R41" s="986">
        <f t="shared" si="5"/>
        <v>80.86666666666666</v>
      </c>
    </row>
    <row r="42" spans="2:18" ht="12" customHeight="1" x14ac:dyDescent="0.2">
      <c r="B42" s="132">
        <f t="shared" si="6"/>
        <v>37</v>
      </c>
      <c r="C42" s="126"/>
      <c r="D42" s="126"/>
      <c r="E42" s="157"/>
      <c r="F42" s="130"/>
      <c r="G42" s="193"/>
      <c r="H42" s="570"/>
      <c r="I42" s="570"/>
      <c r="J42" s="966"/>
      <c r="K42" s="128"/>
      <c r="L42" s="570"/>
      <c r="M42" s="570"/>
      <c r="N42" s="966"/>
      <c r="O42" s="128"/>
      <c r="P42" s="572"/>
      <c r="Q42" s="572"/>
      <c r="R42" s="986"/>
    </row>
    <row r="43" spans="2:18" ht="12" customHeight="1" x14ac:dyDescent="0.2">
      <c r="B43" s="132">
        <f t="shared" si="6"/>
        <v>38</v>
      </c>
      <c r="C43" s="126"/>
      <c r="D43" s="126"/>
      <c r="E43" s="127" t="s">
        <v>670</v>
      </c>
      <c r="F43" s="130">
        <v>637</v>
      </c>
      <c r="G43" s="193" t="s">
        <v>304</v>
      </c>
      <c r="H43" s="570">
        <v>1100</v>
      </c>
      <c r="I43" s="570">
        <v>772</v>
      </c>
      <c r="J43" s="966">
        <f t="shared" si="3"/>
        <v>70.181818181818173</v>
      </c>
      <c r="K43" s="128"/>
      <c r="L43" s="570"/>
      <c r="M43" s="570"/>
      <c r="N43" s="966"/>
      <c r="O43" s="128"/>
      <c r="P43" s="572">
        <f t="shared" ref="P43:P51" si="13">H43+L43</f>
        <v>1100</v>
      </c>
      <c r="Q43" s="572">
        <f t="shared" ref="Q43:Q51" si="14">I43+M43</f>
        <v>772</v>
      </c>
      <c r="R43" s="986">
        <f t="shared" si="5"/>
        <v>70.181818181818173</v>
      </c>
    </row>
    <row r="44" spans="2:18" ht="12" customHeight="1" x14ac:dyDescent="0.2">
      <c r="B44" s="132">
        <f t="shared" si="6"/>
        <v>39</v>
      </c>
      <c r="C44" s="126"/>
      <c r="D44" s="126"/>
      <c r="E44" s="127" t="s">
        <v>670</v>
      </c>
      <c r="F44" s="130">
        <v>620</v>
      </c>
      <c r="G44" s="365" t="s">
        <v>529</v>
      </c>
      <c r="H44" s="570">
        <v>2400</v>
      </c>
      <c r="I44" s="570">
        <v>1630</v>
      </c>
      <c r="J44" s="966">
        <f t="shared" si="3"/>
        <v>67.916666666666671</v>
      </c>
      <c r="K44" s="128"/>
      <c r="L44" s="570"/>
      <c r="M44" s="570"/>
      <c r="N44" s="966"/>
      <c r="O44" s="128"/>
      <c r="P44" s="572">
        <f t="shared" si="13"/>
        <v>2400</v>
      </c>
      <c r="Q44" s="572">
        <f t="shared" si="14"/>
        <v>1630</v>
      </c>
      <c r="R44" s="986">
        <f t="shared" si="5"/>
        <v>67.916666666666671</v>
      </c>
    </row>
    <row r="45" spans="2:18" ht="12" customHeight="1" x14ac:dyDescent="0.2">
      <c r="B45" s="132">
        <f t="shared" si="6"/>
        <v>40</v>
      </c>
      <c r="C45" s="126"/>
      <c r="D45" s="126"/>
      <c r="E45" s="127" t="s">
        <v>670</v>
      </c>
      <c r="F45" s="363">
        <v>637</v>
      </c>
      <c r="G45" s="365" t="s">
        <v>529</v>
      </c>
      <c r="H45" s="570">
        <v>8900</v>
      </c>
      <c r="I45" s="570">
        <v>7292</v>
      </c>
      <c r="J45" s="966">
        <f t="shared" si="3"/>
        <v>81.932584269662925</v>
      </c>
      <c r="K45" s="20"/>
      <c r="L45" s="398"/>
      <c r="M45" s="398"/>
      <c r="N45" s="966"/>
      <c r="O45" s="20"/>
      <c r="P45" s="364">
        <f t="shared" si="13"/>
        <v>8900</v>
      </c>
      <c r="Q45" s="364">
        <f t="shared" si="14"/>
        <v>7292</v>
      </c>
      <c r="R45" s="986">
        <f t="shared" si="5"/>
        <v>81.932584269662925</v>
      </c>
    </row>
    <row r="46" spans="2:18" ht="12" customHeight="1" x14ac:dyDescent="0.2">
      <c r="B46" s="132">
        <f t="shared" si="6"/>
        <v>41</v>
      </c>
      <c r="C46" s="126"/>
      <c r="D46" s="126"/>
      <c r="E46" s="127" t="s">
        <v>670</v>
      </c>
      <c r="F46" s="363">
        <v>633</v>
      </c>
      <c r="G46" s="365" t="s">
        <v>601</v>
      </c>
      <c r="H46" s="570">
        <v>5000</v>
      </c>
      <c r="I46" s="570">
        <v>4997</v>
      </c>
      <c r="J46" s="966">
        <f t="shared" si="3"/>
        <v>99.94</v>
      </c>
      <c r="K46" s="20"/>
      <c r="L46" s="398"/>
      <c r="M46" s="398"/>
      <c r="N46" s="966"/>
      <c r="O46" s="20"/>
      <c r="P46" s="364">
        <f t="shared" si="13"/>
        <v>5000</v>
      </c>
      <c r="Q46" s="364">
        <f t="shared" si="14"/>
        <v>4997</v>
      </c>
      <c r="R46" s="986">
        <f t="shared" si="5"/>
        <v>99.94</v>
      </c>
    </row>
    <row r="47" spans="2:18" ht="12" customHeight="1" x14ac:dyDescent="0.2">
      <c r="B47" s="132">
        <f t="shared" si="6"/>
        <v>42</v>
      </c>
      <c r="C47" s="126"/>
      <c r="D47" s="126"/>
      <c r="E47" s="127" t="s">
        <v>670</v>
      </c>
      <c r="F47" s="363">
        <v>630</v>
      </c>
      <c r="G47" s="365" t="s">
        <v>449</v>
      </c>
      <c r="H47" s="570">
        <v>14200</v>
      </c>
      <c r="I47" s="570">
        <v>12176</v>
      </c>
      <c r="J47" s="966">
        <f t="shared" si="3"/>
        <v>85.74647887323944</v>
      </c>
      <c r="K47" s="20"/>
      <c r="L47" s="398"/>
      <c r="M47" s="398"/>
      <c r="N47" s="966"/>
      <c r="O47" s="20"/>
      <c r="P47" s="364">
        <f t="shared" si="13"/>
        <v>14200</v>
      </c>
      <c r="Q47" s="364">
        <f t="shared" si="14"/>
        <v>12176</v>
      </c>
      <c r="R47" s="986">
        <f t="shared" si="5"/>
        <v>85.74647887323944</v>
      </c>
    </row>
    <row r="48" spans="2:18" ht="12" customHeight="1" x14ac:dyDescent="0.2">
      <c r="B48" s="132">
        <f t="shared" si="6"/>
        <v>43</v>
      </c>
      <c r="C48" s="126"/>
      <c r="D48" s="126"/>
      <c r="E48" s="127" t="s">
        <v>670</v>
      </c>
      <c r="F48" s="363">
        <v>633</v>
      </c>
      <c r="G48" s="365" t="s">
        <v>693</v>
      </c>
      <c r="H48" s="570">
        <f>2000-40</f>
        <v>1960</v>
      </c>
      <c r="I48" s="570">
        <v>739</v>
      </c>
      <c r="J48" s="966">
        <f t="shared" si="3"/>
        <v>37.704081632653065</v>
      </c>
      <c r="K48" s="20"/>
      <c r="L48" s="398"/>
      <c r="M48" s="398"/>
      <c r="N48" s="966"/>
      <c r="O48" s="20"/>
      <c r="P48" s="364">
        <f t="shared" si="13"/>
        <v>1960</v>
      </c>
      <c r="Q48" s="364">
        <f t="shared" si="14"/>
        <v>739</v>
      </c>
      <c r="R48" s="986">
        <f t="shared" si="5"/>
        <v>37.704081632653065</v>
      </c>
    </row>
    <row r="49" spans="2:18" ht="12" customHeight="1" x14ac:dyDescent="0.2">
      <c r="B49" s="132">
        <f t="shared" si="6"/>
        <v>44</v>
      </c>
      <c r="C49" s="180"/>
      <c r="D49" s="126"/>
      <c r="E49" s="127" t="s">
        <v>670</v>
      </c>
      <c r="F49" s="363">
        <v>637</v>
      </c>
      <c r="G49" s="365" t="s">
        <v>693</v>
      </c>
      <c r="H49" s="570">
        <v>40</v>
      </c>
      <c r="I49" s="570">
        <v>38</v>
      </c>
      <c r="J49" s="966">
        <f t="shared" si="3"/>
        <v>95</v>
      </c>
      <c r="K49" s="20"/>
      <c r="L49" s="398"/>
      <c r="M49" s="398"/>
      <c r="N49" s="966"/>
      <c r="O49" s="20"/>
      <c r="P49" s="364">
        <f t="shared" ref="P49" si="15">H49+L49</f>
        <v>40</v>
      </c>
      <c r="Q49" s="364">
        <f t="shared" si="14"/>
        <v>38</v>
      </c>
      <c r="R49" s="986">
        <f t="shared" si="5"/>
        <v>95</v>
      </c>
    </row>
    <row r="50" spans="2:18" ht="12" customHeight="1" x14ac:dyDescent="0.2">
      <c r="B50" s="132">
        <f t="shared" si="6"/>
        <v>45</v>
      </c>
      <c r="C50" s="180"/>
      <c r="D50" s="126"/>
      <c r="E50" s="127" t="s">
        <v>670</v>
      </c>
      <c r="F50" s="363">
        <v>712</v>
      </c>
      <c r="G50" s="365" t="s">
        <v>862</v>
      </c>
      <c r="H50" s="570"/>
      <c r="I50" s="570"/>
      <c r="J50" s="966"/>
      <c r="K50" s="20"/>
      <c r="L50" s="398">
        <v>3200</v>
      </c>
      <c r="M50" s="398">
        <v>3014</v>
      </c>
      <c r="N50" s="966">
        <f t="shared" ref="N50:N51" si="16">M50/L50*100</f>
        <v>94.1875</v>
      </c>
      <c r="O50" s="20"/>
      <c r="P50" s="364">
        <f t="shared" ref="P50" si="17">H50+L50</f>
        <v>3200</v>
      </c>
      <c r="Q50" s="364">
        <f t="shared" si="14"/>
        <v>3014</v>
      </c>
      <c r="R50" s="986">
        <f t="shared" si="5"/>
        <v>94.1875</v>
      </c>
    </row>
    <row r="51" spans="2:18" ht="15" customHeight="1" thickBot="1" x14ac:dyDescent="0.3">
      <c r="B51" s="132">
        <f t="shared" si="6"/>
        <v>46</v>
      </c>
      <c r="C51" s="27">
        <v>4</v>
      </c>
      <c r="D51" s="198" t="s">
        <v>225</v>
      </c>
      <c r="E51" s="28"/>
      <c r="F51" s="28"/>
      <c r="G51" s="195"/>
      <c r="H51" s="414">
        <v>0</v>
      </c>
      <c r="I51" s="414">
        <v>0</v>
      </c>
      <c r="J51" s="1047"/>
      <c r="K51" s="117"/>
      <c r="L51" s="454">
        <v>18320</v>
      </c>
      <c r="M51" s="454">
        <v>18311</v>
      </c>
      <c r="N51" s="1047">
        <f t="shared" si="16"/>
        <v>99.950873362445407</v>
      </c>
      <c r="O51" s="117"/>
      <c r="P51" s="455">
        <f t="shared" si="13"/>
        <v>18320</v>
      </c>
      <c r="Q51" s="455">
        <f t="shared" si="14"/>
        <v>18311</v>
      </c>
      <c r="R51" s="1048">
        <f t="shared" si="5"/>
        <v>99.950873362445407</v>
      </c>
    </row>
    <row r="52" spans="2:18" ht="15" customHeight="1" x14ac:dyDescent="0.2">
      <c r="B52" s="306"/>
      <c r="C52" s="307"/>
      <c r="D52" s="129"/>
      <c r="E52" s="129"/>
      <c r="F52" s="129"/>
      <c r="G52" s="129"/>
      <c r="H52" s="249"/>
      <c r="I52" s="249"/>
      <c r="K52" s="249"/>
      <c r="L52" s="249"/>
      <c r="M52" s="249"/>
      <c r="O52" s="249"/>
      <c r="P52" s="249"/>
      <c r="Q52" s="249"/>
    </row>
  </sheetData>
  <mergeCells count="14">
    <mergeCell ref="Q3:Q5"/>
    <mergeCell ref="R3:R5"/>
    <mergeCell ref="I4:I5"/>
    <mergeCell ref="J4:J5"/>
    <mergeCell ref="M4:M5"/>
    <mergeCell ref="N4:N5"/>
    <mergeCell ref="P3:P5"/>
    <mergeCell ref="L4:L5"/>
    <mergeCell ref="B3:N3"/>
    <mergeCell ref="C4:C5"/>
    <mergeCell ref="D4:D5"/>
    <mergeCell ref="E4:E5"/>
    <mergeCell ref="F4:F5"/>
    <mergeCell ref="H4:H5"/>
  </mergeCells>
  <pageMargins left="0.47" right="0.31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4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6.5703125" style="1025" customWidth="1"/>
    <col min="11" max="11" width="1" style="76" customWidth="1"/>
    <col min="12" max="13" width="14.28515625" style="76" customWidth="1"/>
    <col min="14" max="14" width="7.5703125" style="1025" customWidth="1"/>
    <col min="15" max="15" width="1.42578125" style="76" customWidth="1"/>
    <col min="16" max="17" width="12.85546875" style="76" customWidth="1"/>
    <col min="18" max="18" width="6.42578125" style="1025" customWidth="1"/>
  </cols>
  <sheetData>
    <row r="1" spans="2:18" ht="15" customHeight="1" x14ac:dyDescent="0.2">
      <c r="B1" s="306"/>
      <c r="C1" s="307"/>
      <c r="D1" s="129"/>
      <c r="E1" s="129"/>
      <c r="F1" s="129"/>
      <c r="G1" s="129"/>
      <c r="H1" s="249"/>
      <c r="I1" s="249"/>
      <c r="K1" s="249"/>
      <c r="L1" s="249"/>
      <c r="M1" s="249"/>
      <c r="O1" s="249"/>
      <c r="P1" s="249"/>
      <c r="Q1" s="249"/>
    </row>
    <row r="2" spans="2:18" ht="15" customHeight="1" x14ac:dyDescent="0.2">
      <c r="B2" s="306"/>
      <c r="C2" s="307"/>
      <c r="D2" s="129"/>
      <c r="E2" s="129"/>
      <c r="F2" s="129"/>
      <c r="G2" s="129"/>
      <c r="H2" s="249"/>
      <c r="I2" s="249"/>
      <c r="K2" s="249"/>
      <c r="L2" s="249"/>
      <c r="M2" s="249"/>
      <c r="O2" s="249"/>
      <c r="P2" s="249"/>
      <c r="Q2" s="249"/>
    </row>
    <row r="3" spans="2:18" ht="30.75" customHeight="1" thickBot="1" x14ac:dyDescent="0.4">
      <c r="B3" s="248" t="s">
        <v>226</v>
      </c>
      <c r="C3" s="248"/>
      <c r="D3" s="248"/>
      <c r="E3" s="248"/>
      <c r="F3" s="248"/>
      <c r="G3" s="248"/>
      <c r="H3" s="248"/>
      <c r="I3" s="248"/>
      <c r="J3" s="1045"/>
      <c r="K3" s="248"/>
      <c r="L3" s="248"/>
      <c r="M3" s="248"/>
      <c r="N3" s="1045"/>
      <c r="O3" s="248"/>
      <c r="P3" s="248"/>
      <c r="Q3" s="248"/>
      <c r="R3" s="1045"/>
    </row>
    <row r="4" spans="2:18" ht="13.5" customHeight="1" thickBot="1" x14ac:dyDescent="0.25">
      <c r="B4" s="1131" t="s">
        <v>632</v>
      </c>
      <c r="C4" s="1132"/>
      <c r="D4" s="1132"/>
      <c r="E4" s="1132"/>
      <c r="F4" s="1132"/>
      <c r="G4" s="1132"/>
      <c r="H4" s="1132"/>
      <c r="I4" s="1132"/>
      <c r="J4" s="1132"/>
      <c r="K4" s="1132"/>
      <c r="L4" s="1132"/>
      <c r="M4" s="1132"/>
      <c r="N4" s="1133"/>
      <c r="O4" s="116"/>
      <c r="P4" s="1125" t="s">
        <v>716</v>
      </c>
      <c r="Q4" s="1125" t="s">
        <v>886</v>
      </c>
      <c r="R4" s="1128" t="s">
        <v>887</v>
      </c>
    </row>
    <row r="5" spans="2:18" ht="36.75" customHeight="1" thickTop="1" x14ac:dyDescent="0.2">
      <c r="B5" s="548"/>
      <c r="C5" s="1141" t="s">
        <v>478</v>
      </c>
      <c r="D5" s="1141" t="s">
        <v>477</v>
      </c>
      <c r="E5" s="1141" t="s">
        <v>475</v>
      </c>
      <c r="F5" s="1141" t="s">
        <v>476</v>
      </c>
      <c r="G5" s="550" t="s">
        <v>3</v>
      </c>
      <c r="H5" s="1135" t="s">
        <v>902</v>
      </c>
      <c r="I5" s="1135" t="s">
        <v>903</v>
      </c>
      <c r="J5" s="1139" t="s">
        <v>887</v>
      </c>
      <c r="L5" s="1137" t="s">
        <v>904</v>
      </c>
      <c r="M5" s="1137" t="s">
        <v>905</v>
      </c>
      <c r="N5" s="1139" t="s">
        <v>887</v>
      </c>
      <c r="P5" s="1126"/>
      <c r="Q5" s="1126"/>
      <c r="R5" s="1129"/>
    </row>
    <row r="6" spans="2:18" ht="26.25" customHeight="1" thickBot="1" x14ac:dyDescent="0.25">
      <c r="B6" s="925"/>
      <c r="C6" s="1124"/>
      <c r="D6" s="1124"/>
      <c r="E6" s="1124"/>
      <c r="F6" s="1124"/>
      <c r="G6" s="551"/>
      <c r="H6" s="1136"/>
      <c r="I6" s="1136"/>
      <c r="J6" s="1140"/>
      <c r="L6" s="1138"/>
      <c r="M6" s="1138"/>
      <c r="N6" s="1140"/>
      <c r="P6" s="1127"/>
      <c r="Q6" s="1127"/>
      <c r="R6" s="1130"/>
    </row>
    <row r="7" spans="2:18" ht="19.5" thickTop="1" thickBot="1" x14ac:dyDescent="0.25">
      <c r="B7" s="172">
        <v>1</v>
      </c>
      <c r="C7" s="121" t="s">
        <v>227</v>
      </c>
      <c r="D7" s="109"/>
      <c r="E7" s="109"/>
      <c r="F7" s="109"/>
      <c r="G7" s="203"/>
      <c r="H7" s="411">
        <f>H8+H43+H55+H62+H64+H72</f>
        <v>3819489</v>
      </c>
      <c r="I7" s="411">
        <f>I8+I43+I55+I62+I64+I72</f>
        <v>3674043</v>
      </c>
      <c r="J7" s="969">
        <f>I7/H7*100</f>
        <v>96.192003694735078</v>
      </c>
      <c r="K7" s="111"/>
      <c r="L7" s="406">
        <f>L8+L43+L55+L62+L64+L72</f>
        <v>164685</v>
      </c>
      <c r="M7" s="406">
        <f>M8+M43+M55+M62+M64+M72</f>
        <v>162466</v>
      </c>
      <c r="N7" s="1005">
        <f>M7/L7*100</f>
        <v>98.652579166287154</v>
      </c>
      <c r="O7" s="111"/>
      <c r="P7" s="371">
        <f t="shared" ref="P7:P38" si="0">H7+L7</f>
        <v>3984174</v>
      </c>
      <c r="Q7" s="371">
        <f t="shared" ref="Q7:Q38" si="1">I7+M7</f>
        <v>3836509</v>
      </c>
      <c r="R7" s="992">
        <f>Q7/P7*100</f>
        <v>96.293711067839908</v>
      </c>
    </row>
    <row r="8" spans="2:18" ht="16.5" thickTop="1" x14ac:dyDescent="0.25">
      <c r="B8" s="172">
        <f>B7+1</f>
        <v>2</v>
      </c>
      <c r="C8" s="23">
        <v>1</v>
      </c>
      <c r="D8" s="123" t="s">
        <v>0</v>
      </c>
      <c r="E8" s="24"/>
      <c r="F8" s="24"/>
      <c r="G8" s="192"/>
      <c r="H8" s="412">
        <f>H9+H28+H20+H40</f>
        <v>486700</v>
      </c>
      <c r="I8" s="412">
        <f>I9+I28+I20+I40</f>
        <v>432034</v>
      </c>
      <c r="J8" s="994">
        <f t="shared" ref="J8:J70" si="2">I8/H8*100</f>
        <v>88.768029587014581</v>
      </c>
      <c r="K8" s="86"/>
      <c r="L8" s="456">
        <f>SUM(L12:L42)</f>
        <v>75500</v>
      </c>
      <c r="M8" s="456">
        <f>SUM(M12:M42)</f>
        <v>73299</v>
      </c>
      <c r="N8" s="1076">
        <f>M8/L8*100</f>
        <v>97.084768211920519</v>
      </c>
      <c r="O8" s="86"/>
      <c r="P8" s="372">
        <f t="shared" si="0"/>
        <v>562200</v>
      </c>
      <c r="Q8" s="372">
        <f t="shared" si="1"/>
        <v>505333</v>
      </c>
      <c r="R8" s="981">
        <f t="shared" ref="R8:R70" si="3">Q8/P8*100</f>
        <v>89.884916399857701</v>
      </c>
    </row>
    <row r="9" spans="2:18" x14ac:dyDescent="0.2">
      <c r="B9" s="172">
        <f t="shared" ref="B9:B78" si="4">B8+1</f>
        <v>3</v>
      </c>
      <c r="C9" s="142"/>
      <c r="D9" s="155"/>
      <c r="E9" s="156" t="s">
        <v>267</v>
      </c>
      <c r="F9" s="226" t="s">
        <v>605</v>
      </c>
      <c r="G9" s="226"/>
      <c r="H9" s="386">
        <f>H10+H11+H12+H19</f>
        <v>44450</v>
      </c>
      <c r="I9" s="386">
        <f t="shared" ref="I9" si="5">I10+I11+I12+I19</f>
        <v>38579</v>
      </c>
      <c r="J9" s="965">
        <f t="shared" si="2"/>
        <v>86.791901012373458</v>
      </c>
      <c r="K9" s="145"/>
      <c r="L9" s="394"/>
      <c r="M9" s="394"/>
      <c r="N9" s="1031"/>
      <c r="O9" s="145"/>
      <c r="P9" s="167">
        <f t="shared" si="0"/>
        <v>44450</v>
      </c>
      <c r="Q9" s="167">
        <f t="shared" si="1"/>
        <v>38579</v>
      </c>
      <c r="R9" s="982">
        <f t="shared" si="3"/>
        <v>86.791901012373458</v>
      </c>
    </row>
    <row r="10" spans="2:18" ht="12" customHeight="1" x14ac:dyDescent="0.2">
      <c r="B10" s="172">
        <f t="shared" si="4"/>
        <v>4</v>
      </c>
      <c r="C10" s="142"/>
      <c r="D10" s="143"/>
      <c r="E10" s="149"/>
      <c r="F10" s="149">
        <v>610</v>
      </c>
      <c r="G10" s="201" t="s">
        <v>257</v>
      </c>
      <c r="H10" s="387">
        <v>23125</v>
      </c>
      <c r="I10" s="387">
        <v>22760</v>
      </c>
      <c r="J10" s="965">
        <f t="shared" si="2"/>
        <v>98.421621621621625</v>
      </c>
      <c r="K10" s="145"/>
      <c r="L10" s="394"/>
      <c r="M10" s="394"/>
      <c r="N10" s="1031"/>
      <c r="O10" s="145"/>
      <c r="P10" s="167">
        <f t="shared" si="0"/>
        <v>23125</v>
      </c>
      <c r="Q10" s="167">
        <f t="shared" si="1"/>
        <v>22760</v>
      </c>
      <c r="R10" s="982">
        <f t="shared" si="3"/>
        <v>98.421621621621625</v>
      </c>
    </row>
    <row r="11" spans="2:18" ht="12" customHeight="1" x14ac:dyDescent="0.2">
      <c r="B11" s="172">
        <f t="shared" si="4"/>
        <v>5</v>
      </c>
      <c r="C11" s="142"/>
      <c r="D11" s="143"/>
      <c r="E11" s="130"/>
      <c r="F11" s="149">
        <v>620</v>
      </c>
      <c r="G11" s="201" t="s">
        <v>259</v>
      </c>
      <c r="H11" s="387">
        <v>8090</v>
      </c>
      <c r="I11" s="387">
        <v>7801</v>
      </c>
      <c r="J11" s="965">
        <f t="shared" si="2"/>
        <v>96.427688504326326</v>
      </c>
      <c r="K11" s="145"/>
      <c r="L11" s="394"/>
      <c r="M11" s="394"/>
      <c r="N11" s="1031"/>
      <c r="O11" s="145"/>
      <c r="P11" s="167">
        <f t="shared" si="0"/>
        <v>8090</v>
      </c>
      <c r="Q11" s="167">
        <f t="shared" si="1"/>
        <v>7801</v>
      </c>
      <c r="R11" s="982">
        <f t="shared" si="3"/>
        <v>96.427688504326326</v>
      </c>
    </row>
    <row r="12" spans="2:18" ht="12" customHeight="1" x14ac:dyDescent="0.2">
      <c r="B12" s="172">
        <f t="shared" si="4"/>
        <v>6</v>
      </c>
      <c r="C12" s="142"/>
      <c r="D12" s="143"/>
      <c r="E12" s="130"/>
      <c r="F12" s="149">
        <v>630</v>
      </c>
      <c r="G12" s="201" t="s">
        <v>249</v>
      </c>
      <c r="H12" s="387">
        <f>SUM(H13:H18)</f>
        <v>12935</v>
      </c>
      <c r="I12" s="387">
        <f t="shared" ref="I12" si="6">SUM(I13:I18)</f>
        <v>7765</v>
      </c>
      <c r="J12" s="965">
        <f t="shared" si="2"/>
        <v>60.030923850019327</v>
      </c>
      <c r="K12" s="145"/>
      <c r="L12" s="394"/>
      <c r="M12" s="394"/>
      <c r="N12" s="1031"/>
      <c r="O12" s="145"/>
      <c r="P12" s="167">
        <f t="shared" si="0"/>
        <v>12935</v>
      </c>
      <c r="Q12" s="167">
        <f t="shared" si="1"/>
        <v>7765</v>
      </c>
      <c r="R12" s="982">
        <f t="shared" si="3"/>
        <v>60.030923850019327</v>
      </c>
    </row>
    <row r="13" spans="2:18" ht="12" customHeight="1" x14ac:dyDescent="0.2">
      <c r="B13" s="172">
        <f t="shared" si="4"/>
        <v>7</v>
      </c>
      <c r="C13" s="142"/>
      <c r="D13" s="143"/>
      <c r="E13" s="130"/>
      <c r="F13" s="130">
        <v>631</v>
      </c>
      <c r="G13" s="193" t="s">
        <v>520</v>
      </c>
      <c r="H13" s="570">
        <v>50</v>
      </c>
      <c r="I13" s="570">
        <v>0</v>
      </c>
      <c r="J13" s="966">
        <f t="shared" si="2"/>
        <v>0</v>
      </c>
      <c r="K13" s="145"/>
      <c r="L13" s="394"/>
      <c r="M13" s="394"/>
      <c r="N13" s="1031"/>
      <c r="O13" s="145"/>
      <c r="P13" s="168">
        <f t="shared" si="0"/>
        <v>50</v>
      </c>
      <c r="Q13" s="168">
        <f t="shared" si="1"/>
        <v>0</v>
      </c>
      <c r="R13" s="983">
        <f t="shared" si="3"/>
        <v>0</v>
      </c>
    </row>
    <row r="14" spans="2:18" ht="12" customHeight="1" x14ac:dyDescent="0.2">
      <c r="B14" s="172">
        <f t="shared" si="4"/>
        <v>8</v>
      </c>
      <c r="C14" s="142"/>
      <c r="D14" s="143"/>
      <c r="E14" s="130"/>
      <c r="F14" s="130">
        <v>632</v>
      </c>
      <c r="G14" s="193" t="s">
        <v>246</v>
      </c>
      <c r="H14" s="570">
        <f>1825-50</f>
        <v>1775</v>
      </c>
      <c r="I14" s="570">
        <v>281</v>
      </c>
      <c r="J14" s="966">
        <f t="shared" si="2"/>
        <v>15.830985915492956</v>
      </c>
      <c r="K14" s="145"/>
      <c r="L14" s="394"/>
      <c r="M14" s="394"/>
      <c r="N14" s="1031"/>
      <c r="O14" s="145"/>
      <c r="P14" s="168">
        <f t="shared" si="0"/>
        <v>1775</v>
      </c>
      <c r="Q14" s="168">
        <f t="shared" si="1"/>
        <v>281</v>
      </c>
      <c r="R14" s="983">
        <f t="shared" si="3"/>
        <v>15.830985915492956</v>
      </c>
    </row>
    <row r="15" spans="2:18" ht="12" customHeight="1" x14ac:dyDescent="0.2">
      <c r="B15" s="172">
        <f t="shared" si="4"/>
        <v>9</v>
      </c>
      <c r="C15" s="142"/>
      <c r="D15" s="143"/>
      <c r="E15" s="130"/>
      <c r="F15" s="130">
        <v>633</v>
      </c>
      <c r="G15" s="193" t="s">
        <v>247</v>
      </c>
      <c r="H15" s="570">
        <f>4600-110-2500</f>
        <v>1990</v>
      </c>
      <c r="I15" s="570">
        <v>1302</v>
      </c>
      <c r="J15" s="966">
        <f t="shared" si="2"/>
        <v>65.427135678391963</v>
      </c>
      <c r="K15" s="145"/>
      <c r="L15" s="394"/>
      <c r="M15" s="394"/>
      <c r="N15" s="1031"/>
      <c r="O15" s="145"/>
      <c r="P15" s="168">
        <f t="shared" si="0"/>
        <v>1990</v>
      </c>
      <c r="Q15" s="168">
        <f t="shared" si="1"/>
        <v>1302</v>
      </c>
      <c r="R15" s="983">
        <f t="shared" si="3"/>
        <v>65.427135678391963</v>
      </c>
    </row>
    <row r="16" spans="2:18" ht="12" customHeight="1" x14ac:dyDescent="0.2">
      <c r="B16" s="172">
        <f t="shared" si="4"/>
        <v>10</v>
      </c>
      <c r="C16" s="142"/>
      <c r="D16" s="143"/>
      <c r="E16" s="130"/>
      <c r="F16" s="130">
        <v>634</v>
      </c>
      <c r="G16" s="193" t="s">
        <v>260</v>
      </c>
      <c r="H16" s="570">
        <v>2470</v>
      </c>
      <c r="I16" s="570">
        <v>1683</v>
      </c>
      <c r="J16" s="966">
        <f t="shared" si="2"/>
        <v>68.137651821862349</v>
      </c>
      <c r="K16" s="145"/>
      <c r="L16" s="394"/>
      <c r="M16" s="394"/>
      <c r="N16" s="1031"/>
      <c r="O16" s="145"/>
      <c r="P16" s="168">
        <f t="shared" si="0"/>
        <v>2470</v>
      </c>
      <c r="Q16" s="168">
        <f t="shared" si="1"/>
        <v>1683</v>
      </c>
      <c r="R16" s="983">
        <f t="shared" si="3"/>
        <v>68.137651821862349</v>
      </c>
    </row>
    <row r="17" spans="2:18" ht="12" customHeight="1" x14ac:dyDescent="0.2">
      <c r="B17" s="172">
        <f t="shared" si="4"/>
        <v>11</v>
      </c>
      <c r="C17" s="142"/>
      <c r="D17" s="143"/>
      <c r="E17" s="143"/>
      <c r="F17" s="130">
        <v>635</v>
      </c>
      <c r="G17" s="193" t="s">
        <v>261</v>
      </c>
      <c r="H17" s="570">
        <v>800</v>
      </c>
      <c r="I17" s="570">
        <v>373</v>
      </c>
      <c r="J17" s="966">
        <f t="shared" si="2"/>
        <v>46.625</v>
      </c>
      <c r="K17" s="145"/>
      <c r="L17" s="394"/>
      <c r="M17" s="394"/>
      <c r="N17" s="1031"/>
      <c r="O17" s="145"/>
      <c r="P17" s="168">
        <f t="shared" si="0"/>
        <v>800</v>
      </c>
      <c r="Q17" s="168">
        <f t="shared" si="1"/>
        <v>373</v>
      </c>
      <c r="R17" s="983">
        <f t="shared" si="3"/>
        <v>46.625</v>
      </c>
    </row>
    <row r="18" spans="2:18" ht="12" customHeight="1" x14ac:dyDescent="0.2">
      <c r="B18" s="172">
        <f t="shared" si="4"/>
        <v>12</v>
      </c>
      <c r="C18" s="142"/>
      <c r="D18" s="143"/>
      <c r="E18" s="143"/>
      <c r="F18" s="130">
        <v>637</v>
      </c>
      <c r="G18" s="193" t="s">
        <v>248</v>
      </c>
      <c r="H18" s="398">
        <f>6850-500-500</f>
        <v>5850</v>
      </c>
      <c r="I18" s="398">
        <v>4126</v>
      </c>
      <c r="J18" s="966">
        <f t="shared" si="2"/>
        <v>70.529914529914521</v>
      </c>
      <c r="K18" s="145"/>
      <c r="L18" s="394"/>
      <c r="M18" s="394"/>
      <c r="N18" s="1031"/>
      <c r="O18" s="145"/>
      <c r="P18" s="168">
        <f t="shared" si="0"/>
        <v>5850</v>
      </c>
      <c r="Q18" s="168">
        <f t="shared" si="1"/>
        <v>4126</v>
      </c>
      <c r="R18" s="983">
        <f t="shared" si="3"/>
        <v>70.529914529914521</v>
      </c>
    </row>
    <row r="19" spans="2:18" ht="12" customHeight="1" x14ac:dyDescent="0.2">
      <c r="B19" s="172">
        <f t="shared" si="4"/>
        <v>13</v>
      </c>
      <c r="C19" s="142"/>
      <c r="D19" s="143"/>
      <c r="E19" s="143"/>
      <c r="F19" s="154">
        <v>640</v>
      </c>
      <c r="G19" s="201" t="s">
        <v>425</v>
      </c>
      <c r="H19" s="539">
        <f>190+110</f>
        <v>300</v>
      </c>
      <c r="I19" s="539">
        <v>253</v>
      </c>
      <c r="J19" s="965">
        <f t="shared" si="2"/>
        <v>84.333333333333343</v>
      </c>
      <c r="K19" s="128"/>
      <c r="L19" s="394"/>
      <c r="M19" s="394"/>
      <c r="N19" s="1031"/>
      <c r="O19" s="145"/>
      <c r="P19" s="167">
        <f t="shared" si="0"/>
        <v>300</v>
      </c>
      <c r="Q19" s="167">
        <f t="shared" si="1"/>
        <v>253</v>
      </c>
      <c r="R19" s="982">
        <f t="shared" si="3"/>
        <v>84.333333333333343</v>
      </c>
    </row>
    <row r="20" spans="2:18" x14ac:dyDescent="0.2">
      <c r="B20" s="172">
        <f t="shared" si="4"/>
        <v>14</v>
      </c>
      <c r="C20" s="142"/>
      <c r="D20" s="155"/>
      <c r="E20" s="156" t="s">
        <v>267</v>
      </c>
      <c r="F20" s="226" t="s">
        <v>631</v>
      </c>
      <c r="G20" s="226"/>
      <c r="H20" s="386">
        <f>SUM(H21:H22)</f>
        <v>26550</v>
      </c>
      <c r="I20" s="386">
        <f t="shared" ref="I20" si="7">SUM(I21:I22)</f>
        <v>24876</v>
      </c>
      <c r="J20" s="965">
        <f t="shared" si="2"/>
        <v>93.694915254237287</v>
      </c>
      <c r="K20" s="145"/>
      <c r="L20" s="394"/>
      <c r="M20" s="394"/>
      <c r="N20" s="1031"/>
      <c r="O20" s="145"/>
      <c r="P20" s="167">
        <f t="shared" si="0"/>
        <v>26550</v>
      </c>
      <c r="Q20" s="167">
        <f t="shared" si="1"/>
        <v>24876</v>
      </c>
      <c r="R20" s="982">
        <f t="shared" si="3"/>
        <v>93.694915254237287</v>
      </c>
    </row>
    <row r="21" spans="2:18" x14ac:dyDescent="0.2">
      <c r="B21" s="172">
        <f t="shared" si="4"/>
        <v>15</v>
      </c>
      <c r="C21" s="142"/>
      <c r="D21" s="177"/>
      <c r="E21" s="363"/>
      <c r="F21" s="149">
        <v>620</v>
      </c>
      <c r="G21" s="201" t="s">
        <v>259</v>
      </c>
      <c r="H21" s="539">
        <v>575</v>
      </c>
      <c r="I21" s="539">
        <v>179</v>
      </c>
      <c r="J21" s="965">
        <f t="shared" si="2"/>
        <v>31.130434782608695</v>
      </c>
      <c r="K21" s="145"/>
      <c r="L21" s="394"/>
      <c r="M21" s="394"/>
      <c r="N21" s="1031"/>
      <c r="O21" s="145"/>
      <c r="P21" s="167">
        <f t="shared" si="0"/>
        <v>575</v>
      </c>
      <c r="Q21" s="167">
        <f t="shared" si="1"/>
        <v>179</v>
      </c>
      <c r="R21" s="982">
        <f t="shared" si="3"/>
        <v>31.130434782608695</v>
      </c>
    </row>
    <row r="22" spans="2:18" ht="12" customHeight="1" x14ac:dyDescent="0.2">
      <c r="B22" s="172">
        <f t="shared" si="4"/>
        <v>16</v>
      </c>
      <c r="C22" s="142"/>
      <c r="D22" s="143"/>
      <c r="E22" s="143"/>
      <c r="F22" s="149">
        <v>630</v>
      </c>
      <c r="G22" s="201" t="s">
        <v>249</v>
      </c>
      <c r="H22" s="539">
        <f>SUM(H23:H27)</f>
        <v>25975</v>
      </c>
      <c r="I22" s="539">
        <f t="shared" ref="I22" si="8">SUM(I23:I27)</f>
        <v>24697</v>
      </c>
      <c r="J22" s="965">
        <f t="shared" si="2"/>
        <v>95.079884504331091</v>
      </c>
      <c r="K22" s="145"/>
      <c r="L22" s="394"/>
      <c r="M22" s="394"/>
      <c r="N22" s="1031"/>
      <c r="O22" s="145"/>
      <c r="P22" s="167">
        <f t="shared" si="0"/>
        <v>25975</v>
      </c>
      <c r="Q22" s="167">
        <f t="shared" si="1"/>
        <v>24697</v>
      </c>
      <c r="R22" s="982">
        <f t="shared" si="3"/>
        <v>95.079884504331091</v>
      </c>
    </row>
    <row r="23" spans="2:18" ht="12" customHeight="1" x14ac:dyDescent="0.2">
      <c r="B23" s="172">
        <f t="shared" si="4"/>
        <v>17</v>
      </c>
      <c r="C23" s="142"/>
      <c r="D23" s="143"/>
      <c r="E23" s="143"/>
      <c r="F23" s="130">
        <v>632</v>
      </c>
      <c r="G23" s="193" t="s">
        <v>246</v>
      </c>
      <c r="H23" s="398">
        <f>1525+50</f>
        <v>1575</v>
      </c>
      <c r="I23" s="398">
        <v>1530</v>
      </c>
      <c r="J23" s="966">
        <f t="shared" si="2"/>
        <v>97.142857142857139</v>
      </c>
      <c r="K23" s="145"/>
      <c r="L23" s="394"/>
      <c r="M23" s="394"/>
      <c r="N23" s="1031"/>
      <c r="O23" s="145"/>
      <c r="P23" s="168">
        <f t="shared" si="0"/>
        <v>1575</v>
      </c>
      <c r="Q23" s="168">
        <f t="shared" si="1"/>
        <v>1530</v>
      </c>
      <c r="R23" s="983">
        <f t="shared" si="3"/>
        <v>97.142857142857139</v>
      </c>
    </row>
    <row r="24" spans="2:18" ht="12" customHeight="1" x14ac:dyDescent="0.2">
      <c r="B24" s="172">
        <f t="shared" si="4"/>
        <v>18</v>
      </c>
      <c r="C24" s="142"/>
      <c r="D24" s="143"/>
      <c r="E24" s="143"/>
      <c r="F24" s="130">
        <v>633</v>
      </c>
      <c r="G24" s="193" t="s">
        <v>247</v>
      </c>
      <c r="H24" s="398">
        <v>3000</v>
      </c>
      <c r="I24" s="398">
        <v>2648</v>
      </c>
      <c r="J24" s="966">
        <f t="shared" si="2"/>
        <v>88.266666666666666</v>
      </c>
      <c r="K24" s="145"/>
      <c r="L24" s="394"/>
      <c r="M24" s="394"/>
      <c r="N24" s="1031"/>
      <c r="O24" s="145"/>
      <c r="P24" s="168">
        <f t="shared" si="0"/>
        <v>3000</v>
      </c>
      <c r="Q24" s="168">
        <f t="shared" si="1"/>
        <v>2648</v>
      </c>
      <c r="R24" s="983">
        <f t="shared" si="3"/>
        <v>88.266666666666666</v>
      </c>
    </row>
    <row r="25" spans="2:18" ht="12" customHeight="1" x14ac:dyDescent="0.2">
      <c r="B25" s="172">
        <f t="shared" si="4"/>
        <v>19</v>
      </c>
      <c r="C25" s="142"/>
      <c r="D25" s="143"/>
      <c r="E25" s="143"/>
      <c r="F25" s="130">
        <v>634</v>
      </c>
      <c r="G25" s="193" t="s">
        <v>260</v>
      </c>
      <c r="H25" s="398">
        <v>200</v>
      </c>
      <c r="I25" s="398">
        <v>196</v>
      </c>
      <c r="J25" s="966">
        <f t="shared" si="2"/>
        <v>98</v>
      </c>
      <c r="K25" s="145"/>
      <c r="L25" s="394"/>
      <c r="M25" s="394"/>
      <c r="N25" s="1031"/>
      <c r="O25" s="145"/>
      <c r="P25" s="168">
        <f t="shared" si="0"/>
        <v>200</v>
      </c>
      <c r="Q25" s="168">
        <f t="shared" si="1"/>
        <v>196</v>
      </c>
      <c r="R25" s="983">
        <f t="shared" si="3"/>
        <v>98</v>
      </c>
    </row>
    <row r="26" spans="2:18" ht="12" customHeight="1" x14ac:dyDescent="0.2">
      <c r="B26" s="172">
        <f t="shared" si="4"/>
        <v>20</v>
      </c>
      <c r="C26" s="142"/>
      <c r="D26" s="143"/>
      <c r="E26" s="143"/>
      <c r="F26" s="130">
        <v>635</v>
      </c>
      <c r="G26" s="193" t="s">
        <v>261</v>
      </c>
      <c r="H26" s="398">
        <f>200+16500+3000</f>
        <v>19700</v>
      </c>
      <c r="I26" s="398">
        <v>19165</v>
      </c>
      <c r="J26" s="966">
        <f t="shared" si="2"/>
        <v>97.284263959390856</v>
      </c>
      <c r="K26" s="145"/>
      <c r="L26" s="394"/>
      <c r="M26" s="394"/>
      <c r="N26" s="1031"/>
      <c r="O26" s="145"/>
      <c r="P26" s="168">
        <f t="shared" si="0"/>
        <v>19700</v>
      </c>
      <c r="Q26" s="168">
        <f t="shared" si="1"/>
        <v>19165</v>
      </c>
      <c r="R26" s="983">
        <f t="shared" si="3"/>
        <v>97.284263959390856</v>
      </c>
    </row>
    <row r="27" spans="2:18" ht="12" customHeight="1" x14ac:dyDescent="0.2">
      <c r="B27" s="172">
        <f t="shared" si="4"/>
        <v>21</v>
      </c>
      <c r="C27" s="142"/>
      <c r="D27" s="143"/>
      <c r="E27" s="143"/>
      <c r="F27" s="130">
        <v>637</v>
      </c>
      <c r="G27" s="193" t="s">
        <v>248</v>
      </c>
      <c r="H27" s="398">
        <f>2000-500</f>
        <v>1500</v>
      </c>
      <c r="I27" s="398">
        <v>1158</v>
      </c>
      <c r="J27" s="966">
        <f t="shared" si="2"/>
        <v>77.2</v>
      </c>
      <c r="K27" s="145"/>
      <c r="L27" s="394"/>
      <c r="M27" s="394"/>
      <c r="N27" s="1031"/>
      <c r="O27" s="145"/>
      <c r="P27" s="168">
        <f t="shared" si="0"/>
        <v>1500</v>
      </c>
      <c r="Q27" s="168">
        <f t="shared" si="1"/>
        <v>1158</v>
      </c>
      <c r="R27" s="983">
        <f t="shared" si="3"/>
        <v>77.2</v>
      </c>
    </row>
    <row r="28" spans="2:18" ht="12" customHeight="1" x14ac:dyDescent="0.2">
      <c r="B28" s="172">
        <f t="shared" si="4"/>
        <v>22</v>
      </c>
      <c r="C28" s="142"/>
      <c r="D28" s="155"/>
      <c r="E28" s="156" t="s">
        <v>241</v>
      </c>
      <c r="F28" s="156"/>
      <c r="G28" s="226" t="s">
        <v>450</v>
      </c>
      <c r="H28" s="386">
        <f>H29+H30+H31+H37</f>
        <v>414200</v>
      </c>
      <c r="I28" s="386">
        <f t="shared" ref="I28" si="9">I29+I30+I31+I37</f>
        <v>368579</v>
      </c>
      <c r="J28" s="965">
        <f t="shared" si="2"/>
        <v>88.985755673587647</v>
      </c>
      <c r="K28" s="145"/>
      <c r="L28" s="394"/>
      <c r="M28" s="394"/>
      <c r="N28" s="1031"/>
      <c r="O28" s="145"/>
      <c r="P28" s="167">
        <f t="shared" si="0"/>
        <v>414200</v>
      </c>
      <c r="Q28" s="167">
        <f t="shared" si="1"/>
        <v>368579</v>
      </c>
      <c r="R28" s="982">
        <f t="shared" si="3"/>
        <v>88.985755673587647</v>
      </c>
    </row>
    <row r="29" spans="2:18" ht="12" customHeight="1" x14ac:dyDescent="0.2">
      <c r="B29" s="172">
        <f t="shared" si="4"/>
        <v>23</v>
      </c>
      <c r="C29" s="142"/>
      <c r="D29" s="143"/>
      <c r="E29" s="143"/>
      <c r="F29" s="149">
        <v>610</v>
      </c>
      <c r="G29" s="201" t="s">
        <v>257</v>
      </c>
      <c r="H29" s="539">
        <f>95000-36700</f>
        <v>58300</v>
      </c>
      <c r="I29" s="539">
        <v>58288</v>
      </c>
      <c r="J29" s="965">
        <f t="shared" si="2"/>
        <v>99.979416809605496</v>
      </c>
      <c r="K29" s="145"/>
      <c r="L29" s="394"/>
      <c r="M29" s="394"/>
      <c r="N29" s="1031"/>
      <c r="O29" s="145"/>
      <c r="P29" s="167">
        <f t="shared" si="0"/>
        <v>58300</v>
      </c>
      <c r="Q29" s="167">
        <f t="shared" si="1"/>
        <v>58288</v>
      </c>
      <c r="R29" s="982">
        <f t="shared" si="3"/>
        <v>99.979416809605496</v>
      </c>
    </row>
    <row r="30" spans="2:18" ht="12" customHeight="1" x14ac:dyDescent="0.2">
      <c r="B30" s="172">
        <f t="shared" si="4"/>
        <v>24</v>
      </c>
      <c r="C30" s="142"/>
      <c r="D30" s="143"/>
      <c r="E30" s="143"/>
      <c r="F30" s="149">
        <v>620</v>
      </c>
      <c r="G30" s="201" t="s">
        <v>259</v>
      </c>
      <c r="H30" s="387">
        <f>60000+10100+21660</f>
        <v>91760</v>
      </c>
      <c r="I30" s="387">
        <v>69242</v>
      </c>
      <c r="J30" s="965">
        <f t="shared" si="2"/>
        <v>75.459895379250213</v>
      </c>
      <c r="K30" s="145"/>
      <c r="L30" s="394"/>
      <c r="M30" s="394"/>
      <c r="N30" s="1031"/>
      <c r="O30" s="145"/>
      <c r="P30" s="167">
        <f t="shared" si="0"/>
        <v>91760</v>
      </c>
      <c r="Q30" s="167">
        <f t="shared" si="1"/>
        <v>69242</v>
      </c>
      <c r="R30" s="982">
        <f t="shared" si="3"/>
        <v>75.459895379250213</v>
      </c>
    </row>
    <row r="31" spans="2:18" ht="12" customHeight="1" x14ac:dyDescent="0.2">
      <c r="B31" s="172">
        <f t="shared" si="4"/>
        <v>25</v>
      </c>
      <c r="C31" s="142"/>
      <c r="D31" s="143"/>
      <c r="E31" s="143"/>
      <c r="F31" s="149">
        <v>630</v>
      </c>
      <c r="G31" s="201" t="s">
        <v>249</v>
      </c>
      <c r="H31" s="387">
        <f>SUM(H32:H36)</f>
        <v>263840</v>
      </c>
      <c r="I31" s="387">
        <f t="shared" ref="I31" si="10">SUM(I32:I36)</f>
        <v>240952</v>
      </c>
      <c r="J31" s="965">
        <f t="shared" si="2"/>
        <v>91.325045482110369</v>
      </c>
      <c r="K31" s="145"/>
      <c r="L31" s="394"/>
      <c r="M31" s="394"/>
      <c r="N31" s="1031"/>
      <c r="O31" s="145"/>
      <c r="P31" s="167">
        <f t="shared" si="0"/>
        <v>263840</v>
      </c>
      <c r="Q31" s="167">
        <f t="shared" si="1"/>
        <v>240952</v>
      </c>
      <c r="R31" s="982">
        <f t="shared" si="3"/>
        <v>91.325045482110369</v>
      </c>
    </row>
    <row r="32" spans="2:18" ht="12" customHeight="1" x14ac:dyDescent="0.2">
      <c r="B32" s="172">
        <f t="shared" si="4"/>
        <v>26</v>
      </c>
      <c r="C32" s="142"/>
      <c r="D32" s="143"/>
      <c r="E32" s="143"/>
      <c r="F32" s="130">
        <v>633</v>
      </c>
      <c r="G32" s="193" t="s">
        <v>247</v>
      </c>
      <c r="H32" s="570">
        <f>29550-2800-2000</f>
        <v>24750</v>
      </c>
      <c r="I32" s="570">
        <v>17127</v>
      </c>
      <c r="J32" s="966">
        <f t="shared" si="2"/>
        <v>69.199999999999989</v>
      </c>
      <c r="K32" s="145"/>
      <c r="L32" s="394"/>
      <c r="M32" s="394"/>
      <c r="N32" s="1031"/>
      <c r="O32" s="145"/>
      <c r="P32" s="168">
        <f t="shared" si="0"/>
        <v>24750</v>
      </c>
      <c r="Q32" s="168">
        <f t="shared" si="1"/>
        <v>17127</v>
      </c>
      <c r="R32" s="983">
        <f t="shared" si="3"/>
        <v>69.199999999999989</v>
      </c>
    </row>
    <row r="33" spans="1:18" ht="12" customHeight="1" x14ac:dyDescent="0.2">
      <c r="B33" s="172">
        <f t="shared" si="4"/>
        <v>27</v>
      </c>
      <c r="C33" s="142"/>
      <c r="D33" s="143"/>
      <c r="E33" s="143"/>
      <c r="F33" s="130">
        <v>634</v>
      </c>
      <c r="G33" s="193" t="s">
        <v>260</v>
      </c>
      <c r="H33" s="570">
        <f>30000-9700-3500</f>
        <v>16800</v>
      </c>
      <c r="I33" s="570">
        <v>11665</v>
      </c>
      <c r="J33" s="966">
        <f t="shared" si="2"/>
        <v>69.43452380952381</v>
      </c>
      <c r="K33" s="145"/>
      <c r="L33" s="394"/>
      <c r="M33" s="394"/>
      <c r="N33" s="1031"/>
      <c r="O33" s="145"/>
      <c r="P33" s="168">
        <f t="shared" si="0"/>
        <v>16800</v>
      </c>
      <c r="Q33" s="168">
        <f t="shared" si="1"/>
        <v>11665</v>
      </c>
      <c r="R33" s="983">
        <f t="shared" si="3"/>
        <v>69.43452380952381</v>
      </c>
    </row>
    <row r="34" spans="1:18" ht="12" customHeight="1" x14ac:dyDescent="0.2">
      <c r="B34" s="172">
        <f t="shared" si="4"/>
        <v>28</v>
      </c>
      <c r="C34" s="142"/>
      <c r="D34" s="143"/>
      <c r="E34" s="143"/>
      <c r="F34" s="130">
        <v>635</v>
      </c>
      <c r="G34" s="193" t="s">
        <v>261</v>
      </c>
      <c r="H34" s="570">
        <f>50000-16500-20500-5000</f>
        <v>8000</v>
      </c>
      <c r="I34" s="570">
        <v>5212</v>
      </c>
      <c r="J34" s="966">
        <f t="shared" si="2"/>
        <v>65.149999999999991</v>
      </c>
      <c r="K34" s="145"/>
      <c r="L34" s="394"/>
      <c r="M34" s="394"/>
      <c r="N34" s="1031"/>
      <c r="O34" s="145"/>
      <c r="P34" s="168">
        <f t="shared" si="0"/>
        <v>8000</v>
      </c>
      <c r="Q34" s="168">
        <f t="shared" si="1"/>
        <v>5212</v>
      </c>
      <c r="R34" s="983">
        <f t="shared" si="3"/>
        <v>65.149999999999991</v>
      </c>
    </row>
    <row r="35" spans="1:18" ht="12" customHeight="1" x14ac:dyDescent="0.2">
      <c r="B35" s="172">
        <f t="shared" si="4"/>
        <v>29</v>
      </c>
      <c r="C35" s="142"/>
      <c r="D35" s="143"/>
      <c r="E35" s="143"/>
      <c r="F35" s="130">
        <v>636</v>
      </c>
      <c r="G35" s="193" t="s">
        <v>347</v>
      </c>
      <c r="H35" s="570">
        <v>150</v>
      </c>
      <c r="I35" s="570">
        <v>0</v>
      </c>
      <c r="J35" s="966">
        <f t="shared" si="2"/>
        <v>0</v>
      </c>
      <c r="K35" s="145"/>
      <c r="L35" s="394"/>
      <c r="M35" s="394"/>
      <c r="N35" s="1031"/>
      <c r="O35" s="145"/>
      <c r="P35" s="168">
        <f t="shared" si="0"/>
        <v>150</v>
      </c>
      <c r="Q35" s="168">
        <f t="shared" si="1"/>
        <v>0</v>
      </c>
      <c r="R35" s="983">
        <f t="shared" si="3"/>
        <v>0</v>
      </c>
    </row>
    <row r="36" spans="1:18" ht="12" customHeight="1" x14ac:dyDescent="0.2">
      <c r="B36" s="172">
        <f t="shared" si="4"/>
        <v>30</v>
      </c>
      <c r="C36" s="142"/>
      <c r="D36" s="143"/>
      <c r="E36" s="143"/>
      <c r="F36" s="130">
        <v>637</v>
      </c>
      <c r="G36" s="193" t="s">
        <v>248</v>
      </c>
      <c r="H36" s="570">
        <f>90000+59600+66040-1500</f>
        <v>214140</v>
      </c>
      <c r="I36" s="570">
        <v>206948</v>
      </c>
      <c r="J36" s="966">
        <f t="shared" si="2"/>
        <v>96.641449519006258</v>
      </c>
      <c r="K36" s="145"/>
      <c r="L36" s="394"/>
      <c r="M36" s="394"/>
      <c r="N36" s="1031"/>
      <c r="O36" s="145"/>
      <c r="P36" s="168">
        <f t="shared" si="0"/>
        <v>214140</v>
      </c>
      <c r="Q36" s="168">
        <f t="shared" si="1"/>
        <v>206948</v>
      </c>
      <c r="R36" s="983">
        <f t="shared" si="3"/>
        <v>96.641449519006258</v>
      </c>
    </row>
    <row r="37" spans="1:18" ht="12" customHeight="1" x14ac:dyDescent="0.2">
      <c r="B37" s="172">
        <f t="shared" si="4"/>
        <v>31</v>
      </c>
      <c r="C37" s="142"/>
      <c r="D37" s="143"/>
      <c r="E37" s="143"/>
      <c r="F37" s="149">
        <v>640</v>
      </c>
      <c r="G37" s="201" t="s">
        <v>425</v>
      </c>
      <c r="H37" s="387">
        <v>300</v>
      </c>
      <c r="I37" s="387">
        <v>97</v>
      </c>
      <c r="J37" s="965">
        <f t="shared" si="2"/>
        <v>32.333333333333329</v>
      </c>
      <c r="K37" s="145"/>
      <c r="L37" s="394"/>
      <c r="M37" s="394"/>
      <c r="N37" s="1035"/>
      <c r="O37" s="145"/>
      <c r="P37" s="167">
        <f t="shared" si="0"/>
        <v>300</v>
      </c>
      <c r="Q37" s="167">
        <f t="shared" si="1"/>
        <v>97</v>
      </c>
      <c r="R37" s="982">
        <f t="shared" si="3"/>
        <v>32.333333333333329</v>
      </c>
    </row>
    <row r="38" spans="1:18" ht="12" customHeight="1" x14ac:dyDescent="0.2">
      <c r="B38" s="172">
        <f t="shared" si="4"/>
        <v>32</v>
      </c>
      <c r="C38" s="142"/>
      <c r="D38" s="143"/>
      <c r="E38" s="143"/>
      <c r="F38" s="149">
        <v>714</v>
      </c>
      <c r="G38" s="201" t="s">
        <v>863</v>
      </c>
      <c r="H38" s="387"/>
      <c r="I38" s="387"/>
      <c r="J38" s="965"/>
      <c r="K38" s="145"/>
      <c r="L38" s="394">
        <v>72000</v>
      </c>
      <c r="M38" s="394">
        <v>71969</v>
      </c>
      <c r="N38" s="1035">
        <f t="shared" ref="N38:N54" si="11">M38/L38*100</f>
        <v>99.956944444444446</v>
      </c>
      <c r="O38" s="145"/>
      <c r="P38" s="167">
        <f t="shared" si="0"/>
        <v>72000</v>
      </c>
      <c r="Q38" s="167">
        <f t="shared" si="1"/>
        <v>71969</v>
      </c>
      <c r="R38" s="982">
        <f t="shared" si="3"/>
        <v>99.956944444444446</v>
      </c>
    </row>
    <row r="39" spans="1:18" ht="12" customHeight="1" x14ac:dyDescent="0.2">
      <c r="B39" s="172">
        <f t="shared" si="4"/>
        <v>33</v>
      </c>
      <c r="C39" s="126"/>
      <c r="D39" s="127"/>
      <c r="E39" s="127"/>
      <c r="F39" s="127"/>
      <c r="G39" s="193"/>
      <c r="H39" s="570"/>
      <c r="I39" s="570"/>
      <c r="J39" s="966"/>
      <c r="K39" s="128"/>
      <c r="L39" s="394"/>
      <c r="M39" s="394"/>
      <c r="N39" s="1035"/>
      <c r="O39" s="128"/>
      <c r="P39" s="168"/>
      <c r="Q39" s="168"/>
      <c r="R39" s="983"/>
    </row>
    <row r="40" spans="1:18" ht="12" customHeight="1" x14ac:dyDescent="0.2">
      <c r="B40" s="172">
        <f t="shared" si="4"/>
        <v>34</v>
      </c>
      <c r="C40" s="126"/>
      <c r="D40" s="127"/>
      <c r="E40" s="127" t="s">
        <v>241</v>
      </c>
      <c r="F40" s="127" t="s">
        <v>214</v>
      </c>
      <c r="G40" s="754" t="s">
        <v>804</v>
      </c>
      <c r="H40" s="755">
        <v>1500</v>
      </c>
      <c r="I40" s="755">
        <v>0</v>
      </c>
      <c r="J40" s="966">
        <f t="shared" si="2"/>
        <v>0</v>
      </c>
      <c r="K40" s="756"/>
      <c r="L40" s="783"/>
      <c r="M40" s="783"/>
      <c r="N40" s="1035"/>
      <c r="O40" s="756"/>
      <c r="P40" s="773">
        <f>H40</f>
        <v>1500</v>
      </c>
      <c r="Q40" s="773">
        <f t="shared" ref="Q40" si="12">I40</f>
        <v>0</v>
      </c>
      <c r="R40" s="983">
        <f t="shared" si="3"/>
        <v>0</v>
      </c>
    </row>
    <row r="41" spans="1:18" s="485" customFormat="1" ht="40.5" customHeight="1" x14ac:dyDescent="0.2">
      <c r="A41" s="482"/>
      <c r="B41" s="172">
        <f t="shared" si="4"/>
        <v>35</v>
      </c>
      <c r="C41" s="483"/>
      <c r="D41" s="1077"/>
      <c r="E41" s="1077" t="s">
        <v>241</v>
      </c>
      <c r="F41" s="1077" t="s">
        <v>322</v>
      </c>
      <c r="G41" s="852" t="s">
        <v>881</v>
      </c>
      <c r="H41" s="1078"/>
      <c r="I41" s="1078"/>
      <c r="J41" s="967"/>
      <c r="K41" s="785"/>
      <c r="L41" s="784">
        <v>3500</v>
      </c>
      <c r="M41" s="784">
        <v>1330</v>
      </c>
      <c r="N41" s="1071">
        <f t="shared" si="11"/>
        <v>38</v>
      </c>
      <c r="O41" s="785"/>
      <c r="P41" s="786">
        <f>L41</f>
        <v>3500</v>
      </c>
      <c r="Q41" s="786">
        <f t="shared" ref="Q41" si="13">M41</f>
        <v>1330</v>
      </c>
      <c r="R41" s="1019">
        <f t="shared" si="3"/>
        <v>38</v>
      </c>
    </row>
    <row r="42" spans="1:18" ht="12" customHeight="1" x14ac:dyDescent="0.2">
      <c r="B42" s="172">
        <f t="shared" si="4"/>
        <v>36</v>
      </c>
      <c r="C42" s="126"/>
      <c r="D42" s="127"/>
      <c r="E42" s="127"/>
      <c r="F42" s="127"/>
      <c r="G42" s="193"/>
      <c r="H42" s="570"/>
      <c r="I42" s="570"/>
      <c r="J42" s="966"/>
      <c r="K42" s="128"/>
      <c r="L42" s="394"/>
      <c r="M42" s="394"/>
      <c r="N42" s="1035"/>
      <c r="O42" s="128"/>
      <c r="P42" s="168"/>
      <c r="Q42" s="168"/>
      <c r="R42" s="983"/>
    </row>
    <row r="43" spans="1:18" ht="15.75" x14ac:dyDescent="0.25">
      <c r="B43" s="172">
        <f t="shared" si="4"/>
        <v>37</v>
      </c>
      <c r="C43" s="21">
        <v>2</v>
      </c>
      <c r="D43" s="122" t="s">
        <v>167</v>
      </c>
      <c r="E43" s="22"/>
      <c r="F43" s="22"/>
      <c r="G43" s="194"/>
      <c r="H43" s="413">
        <f>H44+H51</f>
        <v>3097894</v>
      </c>
      <c r="I43" s="413">
        <f t="shared" ref="I43" si="14">I44+I51</f>
        <v>3035670</v>
      </c>
      <c r="J43" s="972">
        <f t="shared" si="2"/>
        <v>97.991409647973754</v>
      </c>
      <c r="K43" s="110"/>
      <c r="L43" s="457">
        <f>L44+L51</f>
        <v>89185</v>
      </c>
      <c r="M43" s="457">
        <f t="shared" ref="M43" si="15">M44+M51</f>
        <v>89167</v>
      </c>
      <c r="N43" s="1044">
        <f t="shared" si="11"/>
        <v>99.979817233839768</v>
      </c>
      <c r="O43" s="110"/>
      <c r="P43" s="373">
        <f t="shared" ref="P43:P83" si="16">H43+L43</f>
        <v>3187079</v>
      </c>
      <c r="Q43" s="373">
        <f t="shared" ref="Q43:Q50" si="17">I43+M43</f>
        <v>3124837</v>
      </c>
      <c r="R43" s="984">
        <f t="shared" si="3"/>
        <v>98.047051861594895</v>
      </c>
    </row>
    <row r="44" spans="1:18" ht="12" customHeight="1" x14ac:dyDescent="0.2">
      <c r="B44" s="172">
        <f t="shared" si="4"/>
        <v>38</v>
      </c>
      <c r="C44" s="74"/>
      <c r="D44" s="178" t="s">
        <v>4</v>
      </c>
      <c r="E44" s="232"/>
      <c r="F44" s="232" t="s">
        <v>162</v>
      </c>
      <c r="G44" s="233"/>
      <c r="H44" s="386">
        <f>SUM(H45:H49)</f>
        <v>3095594</v>
      </c>
      <c r="I44" s="386">
        <f t="shared" ref="I44" si="18">SUM(I45:I49)</f>
        <v>3033370</v>
      </c>
      <c r="J44" s="965">
        <f t="shared" si="2"/>
        <v>97.98991728243432</v>
      </c>
      <c r="K44" s="20"/>
      <c r="L44" s="141">
        <f>L50</f>
        <v>950</v>
      </c>
      <c r="M44" s="141">
        <v>933</v>
      </c>
      <c r="N44" s="1036">
        <f t="shared" si="11"/>
        <v>98.210526315789465</v>
      </c>
      <c r="O44" s="20"/>
      <c r="P44" s="167">
        <f t="shared" si="16"/>
        <v>3096544</v>
      </c>
      <c r="Q44" s="167">
        <f t="shared" si="17"/>
        <v>3034303</v>
      </c>
      <c r="R44" s="982">
        <f t="shared" si="3"/>
        <v>97.989984963882321</v>
      </c>
    </row>
    <row r="45" spans="1:18" ht="12" customHeight="1" x14ac:dyDescent="0.2">
      <c r="B45" s="172">
        <f t="shared" si="4"/>
        <v>39</v>
      </c>
      <c r="C45" s="126"/>
      <c r="D45" s="126"/>
      <c r="E45" s="130" t="s">
        <v>269</v>
      </c>
      <c r="F45" s="130">
        <v>637</v>
      </c>
      <c r="G45" s="193" t="s">
        <v>650</v>
      </c>
      <c r="H45" s="570">
        <f>540000-46000+11200</f>
        <v>505200</v>
      </c>
      <c r="I45" s="570">
        <v>505137</v>
      </c>
      <c r="J45" s="966">
        <f t="shared" si="2"/>
        <v>99.987529691211392</v>
      </c>
      <c r="K45" s="128"/>
      <c r="L45" s="139"/>
      <c r="M45" s="139"/>
      <c r="N45" s="1037"/>
      <c r="O45" s="128"/>
      <c r="P45" s="169">
        <f t="shared" si="16"/>
        <v>505200</v>
      </c>
      <c r="Q45" s="169">
        <f t="shared" si="17"/>
        <v>505137</v>
      </c>
      <c r="R45" s="986">
        <f t="shared" si="3"/>
        <v>99.987529691211392</v>
      </c>
    </row>
    <row r="46" spans="1:18" ht="12" customHeight="1" x14ac:dyDescent="0.2">
      <c r="B46" s="172">
        <f t="shared" si="4"/>
        <v>40</v>
      </c>
      <c r="C46" s="126"/>
      <c r="D46" s="126"/>
      <c r="E46" s="130" t="s">
        <v>269</v>
      </c>
      <c r="F46" s="130">
        <v>637</v>
      </c>
      <c r="G46" s="193" t="s">
        <v>837</v>
      </c>
      <c r="H46" s="398">
        <f>2630000-1500-33717-1150-64432-29200-4139</f>
        <v>2495862</v>
      </c>
      <c r="I46" s="398">
        <v>2441232</v>
      </c>
      <c r="J46" s="966">
        <f t="shared" si="2"/>
        <v>97.811177060270154</v>
      </c>
      <c r="K46" s="128"/>
      <c r="L46" s="139"/>
      <c r="M46" s="139"/>
      <c r="N46" s="1037"/>
      <c r="O46" s="128"/>
      <c r="P46" s="169">
        <f t="shared" si="16"/>
        <v>2495862</v>
      </c>
      <c r="Q46" s="169">
        <f t="shared" si="17"/>
        <v>2441232</v>
      </c>
      <c r="R46" s="986">
        <f t="shared" si="3"/>
        <v>97.811177060270154</v>
      </c>
    </row>
    <row r="47" spans="1:18" ht="12" customHeight="1" x14ac:dyDescent="0.2">
      <c r="B47" s="172">
        <f t="shared" si="4"/>
        <v>41</v>
      </c>
      <c r="C47" s="126"/>
      <c r="D47" s="126"/>
      <c r="E47" s="130" t="s">
        <v>269</v>
      </c>
      <c r="F47" s="130">
        <v>637</v>
      </c>
      <c r="G47" s="193" t="s">
        <v>651</v>
      </c>
      <c r="H47" s="570">
        <f>50000-1500</f>
        <v>48500</v>
      </c>
      <c r="I47" s="570">
        <v>48000</v>
      </c>
      <c r="J47" s="966">
        <f t="shared" si="2"/>
        <v>98.969072164948457</v>
      </c>
      <c r="K47" s="128"/>
      <c r="L47" s="139"/>
      <c r="M47" s="139"/>
      <c r="N47" s="1037"/>
      <c r="O47" s="128"/>
      <c r="P47" s="169">
        <f t="shared" si="16"/>
        <v>48500</v>
      </c>
      <c r="Q47" s="169">
        <f t="shared" si="17"/>
        <v>48000</v>
      </c>
      <c r="R47" s="986">
        <f t="shared" si="3"/>
        <v>98.969072164948457</v>
      </c>
    </row>
    <row r="48" spans="1:18" ht="12" customHeight="1" x14ac:dyDescent="0.2">
      <c r="B48" s="172">
        <f t="shared" si="4"/>
        <v>42</v>
      </c>
      <c r="C48" s="126"/>
      <c r="D48" s="126"/>
      <c r="E48" s="162" t="s">
        <v>269</v>
      </c>
      <c r="F48" s="162">
        <v>637</v>
      </c>
      <c r="G48" s="193" t="s">
        <v>730</v>
      </c>
      <c r="H48" s="570">
        <f>6000-3000</f>
        <v>3000</v>
      </c>
      <c r="I48" s="570">
        <v>108</v>
      </c>
      <c r="J48" s="966">
        <f t="shared" si="2"/>
        <v>3.5999999999999996</v>
      </c>
      <c r="K48" s="128"/>
      <c r="L48" s="141"/>
      <c r="M48" s="141"/>
      <c r="N48" s="1036"/>
      <c r="O48" s="128"/>
      <c r="P48" s="169">
        <f t="shared" si="16"/>
        <v>3000</v>
      </c>
      <c r="Q48" s="169">
        <f t="shared" si="17"/>
        <v>108</v>
      </c>
      <c r="R48" s="986">
        <f t="shared" si="3"/>
        <v>3.5999999999999996</v>
      </c>
    </row>
    <row r="49" spans="1:18" ht="12" customHeight="1" x14ac:dyDescent="0.2">
      <c r="B49" s="172">
        <f t="shared" si="4"/>
        <v>43</v>
      </c>
      <c r="C49" s="126"/>
      <c r="D49" s="126"/>
      <c r="E49" s="162" t="s">
        <v>269</v>
      </c>
      <c r="F49" s="162">
        <v>637</v>
      </c>
      <c r="G49" s="193" t="s">
        <v>883</v>
      </c>
      <c r="H49" s="570">
        <v>43032</v>
      </c>
      <c r="I49" s="398">
        <v>38893</v>
      </c>
      <c r="J49" s="966">
        <f t="shared" si="2"/>
        <v>90.3815765012084</v>
      </c>
      <c r="K49" s="128"/>
      <c r="L49" s="141"/>
      <c r="M49" s="141"/>
      <c r="N49" s="1036"/>
      <c r="O49" s="128"/>
      <c r="P49" s="169">
        <f t="shared" ref="P49" si="19">H49+L49</f>
        <v>43032</v>
      </c>
      <c r="Q49" s="169">
        <f t="shared" si="17"/>
        <v>38893</v>
      </c>
      <c r="R49" s="986">
        <f t="shared" si="3"/>
        <v>90.3815765012084</v>
      </c>
    </row>
    <row r="50" spans="1:18" ht="12" customHeight="1" x14ac:dyDescent="0.2">
      <c r="B50" s="172">
        <f t="shared" si="4"/>
        <v>44</v>
      </c>
      <c r="C50" s="126"/>
      <c r="D50" s="126"/>
      <c r="E50" s="162" t="s">
        <v>269</v>
      </c>
      <c r="F50" s="162">
        <v>717</v>
      </c>
      <c r="G50" s="193" t="s">
        <v>825</v>
      </c>
      <c r="H50" s="570"/>
      <c r="I50" s="570"/>
      <c r="J50" s="966"/>
      <c r="K50" s="128"/>
      <c r="L50" s="141">
        <v>950</v>
      </c>
      <c r="M50" s="141">
        <v>934</v>
      </c>
      <c r="N50" s="1036">
        <f t="shared" si="11"/>
        <v>98.315789473684205</v>
      </c>
      <c r="O50" s="128"/>
      <c r="P50" s="168">
        <v>950</v>
      </c>
      <c r="Q50" s="169">
        <f t="shared" si="17"/>
        <v>934</v>
      </c>
      <c r="R50" s="983">
        <f t="shared" si="3"/>
        <v>98.315789473684205</v>
      </c>
    </row>
    <row r="51" spans="1:18" ht="12" customHeight="1" x14ac:dyDescent="0.2">
      <c r="B51" s="172">
        <f t="shared" si="4"/>
        <v>45</v>
      </c>
      <c r="C51" s="74"/>
      <c r="D51" s="178" t="s">
        <v>5</v>
      </c>
      <c r="E51" s="232"/>
      <c r="F51" s="232" t="s">
        <v>105</v>
      </c>
      <c r="G51" s="233"/>
      <c r="H51" s="386">
        <f>H52</f>
        <v>2300</v>
      </c>
      <c r="I51" s="386">
        <f t="shared" ref="I51" si="20">I52</f>
        <v>2300</v>
      </c>
      <c r="J51" s="965">
        <f t="shared" si="2"/>
        <v>100</v>
      </c>
      <c r="K51" s="20"/>
      <c r="L51" s="141">
        <f>SUM(L52:L54)</f>
        <v>88235</v>
      </c>
      <c r="M51" s="141">
        <f t="shared" ref="M51" si="21">SUM(M52:M54)</f>
        <v>88234</v>
      </c>
      <c r="N51" s="1036">
        <f t="shared" si="11"/>
        <v>99.998866662888872</v>
      </c>
      <c r="O51" s="20"/>
      <c r="P51" s="167">
        <f t="shared" si="16"/>
        <v>90535</v>
      </c>
      <c r="Q51" s="167">
        <f t="shared" ref="Q51:Q83" si="22">I51+M51</f>
        <v>90534</v>
      </c>
      <c r="R51" s="982">
        <f t="shared" si="3"/>
        <v>99.998895454796482</v>
      </c>
    </row>
    <row r="52" spans="1:18" ht="12" customHeight="1" x14ac:dyDescent="0.2">
      <c r="B52" s="172">
        <f t="shared" si="4"/>
        <v>46</v>
      </c>
      <c r="C52" s="126"/>
      <c r="D52" s="126"/>
      <c r="E52" s="130" t="s">
        <v>269</v>
      </c>
      <c r="F52" s="130">
        <v>637</v>
      </c>
      <c r="G52" s="193" t="s">
        <v>270</v>
      </c>
      <c r="H52" s="570">
        <v>2300</v>
      </c>
      <c r="I52" s="570">
        <v>2300</v>
      </c>
      <c r="J52" s="966">
        <f t="shared" si="2"/>
        <v>100</v>
      </c>
      <c r="K52" s="128"/>
      <c r="L52" s="139"/>
      <c r="M52" s="139"/>
      <c r="N52" s="1037"/>
      <c r="O52" s="128"/>
      <c r="P52" s="169">
        <f t="shared" si="16"/>
        <v>2300</v>
      </c>
      <c r="Q52" s="169">
        <f t="shared" si="22"/>
        <v>2300</v>
      </c>
      <c r="R52" s="986">
        <f t="shared" si="3"/>
        <v>100</v>
      </c>
    </row>
    <row r="53" spans="1:18" ht="12" customHeight="1" x14ac:dyDescent="0.2">
      <c r="B53" s="172">
        <f t="shared" si="4"/>
        <v>47</v>
      </c>
      <c r="C53" s="126"/>
      <c r="D53" s="160"/>
      <c r="E53" s="130" t="s">
        <v>269</v>
      </c>
      <c r="F53" s="130">
        <v>717</v>
      </c>
      <c r="G53" s="193" t="s">
        <v>434</v>
      </c>
      <c r="H53" s="381"/>
      <c r="I53" s="381"/>
      <c r="J53" s="978"/>
      <c r="K53" s="128"/>
      <c r="L53" s="159">
        <v>65060</v>
      </c>
      <c r="M53" s="159">
        <v>65060</v>
      </c>
      <c r="N53" s="1038">
        <f t="shared" si="11"/>
        <v>100</v>
      </c>
      <c r="O53" s="128"/>
      <c r="P53" s="215">
        <f t="shared" si="16"/>
        <v>65060</v>
      </c>
      <c r="Q53" s="215">
        <f t="shared" si="22"/>
        <v>65060</v>
      </c>
      <c r="R53" s="1000">
        <f t="shared" si="3"/>
        <v>100</v>
      </c>
    </row>
    <row r="54" spans="1:18" s="485" customFormat="1" ht="24" customHeight="1" x14ac:dyDescent="0.2">
      <c r="A54" s="482"/>
      <c r="B54" s="172">
        <f t="shared" si="4"/>
        <v>48</v>
      </c>
      <c r="C54" s="483"/>
      <c r="D54" s="494"/>
      <c r="E54" s="479" t="s">
        <v>269</v>
      </c>
      <c r="F54" s="479">
        <v>717</v>
      </c>
      <c r="G54" s="478" t="s">
        <v>581</v>
      </c>
      <c r="H54" s="495"/>
      <c r="I54" s="495"/>
      <c r="J54" s="977"/>
      <c r="K54" s="475"/>
      <c r="L54" s="506">
        <v>23175</v>
      </c>
      <c r="M54" s="506">
        <v>23174</v>
      </c>
      <c r="N54" s="1072">
        <f t="shared" si="11"/>
        <v>99.995685005393739</v>
      </c>
      <c r="O54" s="475"/>
      <c r="P54" s="507">
        <f t="shared" si="16"/>
        <v>23175</v>
      </c>
      <c r="Q54" s="507">
        <f t="shared" si="22"/>
        <v>23174</v>
      </c>
      <c r="R54" s="1010">
        <f t="shared" si="3"/>
        <v>99.995685005393739</v>
      </c>
    </row>
    <row r="55" spans="1:18" ht="15.75" x14ac:dyDescent="0.25">
      <c r="B55" s="172">
        <f t="shared" si="4"/>
        <v>49</v>
      </c>
      <c r="C55" s="23">
        <v>3</v>
      </c>
      <c r="D55" s="123" t="s">
        <v>144</v>
      </c>
      <c r="E55" s="24"/>
      <c r="F55" s="24"/>
      <c r="G55" s="192"/>
      <c r="H55" s="416">
        <f>SUM(H56:H61)</f>
        <v>16650</v>
      </c>
      <c r="I55" s="416">
        <f t="shared" ref="I55" si="23">SUM(I56:I61)</f>
        <v>15630</v>
      </c>
      <c r="J55" s="971">
        <f t="shared" si="2"/>
        <v>93.873873873873876</v>
      </c>
      <c r="K55" s="86"/>
      <c r="L55" s="459">
        <f>SUM(L56:L57)</f>
        <v>0</v>
      </c>
      <c r="M55" s="459">
        <f t="shared" ref="M55" si="24">SUM(M56:M57)</f>
        <v>0</v>
      </c>
      <c r="N55" s="1034"/>
      <c r="O55" s="86"/>
      <c r="P55" s="372">
        <f t="shared" si="16"/>
        <v>16650</v>
      </c>
      <c r="Q55" s="372">
        <f t="shared" si="22"/>
        <v>15630</v>
      </c>
      <c r="R55" s="981">
        <f t="shared" si="3"/>
        <v>93.873873873873876</v>
      </c>
    </row>
    <row r="56" spans="1:18" ht="12" customHeight="1" x14ac:dyDescent="0.2">
      <c r="B56" s="172">
        <f t="shared" si="4"/>
        <v>50</v>
      </c>
      <c r="C56" s="131"/>
      <c r="D56" s="131"/>
      <c r="E56" s="568" t="s">
        <v>271</v>
      </c>
      <c r="F56" s="568">
        <v>637</v>
      </c>
      <c r="G56" s="204" t="s">
        <v>272</v>
      </c>
      <c r="H56" s="570">
        <v>7000</v>
      </c>
      <c r="I56" s="570">
        <v>7000</v>
      </c>
      <c r="J56" s="966">
        <f t="shared" si="2"/>
        <v>100</v>
      </c>
      <c r="K56" s="128"/>
      <c r="L56" s="139"/>
      <c r="M56" s="139"/>
      <c r="N56" s="1032"/>
      <c r="O56" s="128"/>
      <c r="P56" s="169">
        <f t="shared" si="16"/>
        <v>7000</v>
      </c>
      <c r="Q56" s="169">
        <f t="shared" si="22"/>
        <v>7000</v>
      </c>
      <c r="R56" s="986">
        <f t="shared" si="3"/>
        <v>100</v>
      </c>
    </row>
    <row r="57" spans="1:18" x14ac:dyDescent="0.2">
      <c r="B57" s="172">
        <f t="shared" si="4"/>
        <v>51</v>
      </c>
      <c r="C57" s="126"/>
      <c r="D57" s="126"/>
      <c r="E57" s="568" t="s">
        <v>271</v>
      </c>
      <c r="F57" s="130">
        <v>633</v>
      </c>
      <c r="G57" s="193" t="s">
        <v>501</v>
      </c>
      <c r="H57" s="570">
        <v>100</v>
      </c>
      <c r="I57" s="570">
        <v>30</v>
      </c>
      <c r="J57" s="966">
        <f t="shared" si="2"/>
        <v>30</v>
      </c>
      <c r="K57" s="128"/>
      <c r="L57" s="139"/>
      <c r="M57" s="139"/>
      <c r="N57" s="1032"/>
      <c r="O57" s="128"/>
      <c r="P57" s="169">
        <f t="shared" si="16"/>
        <v>100</v>
      </c>
      <c r="Q57" s="169">
        <f t="shared" si="22"/>
        <v>30</v>
      </c>
      <c r="R57" s="986">
        <f t="shared" si="3"/>
        <v>30</v>
      </c>
    </row>
    <row r="58" spans="1:18" x14ac:dyDescent="0.2">
      <c r="B58" s="172">
        <f t="shared" si="4"/>
        <v>52</v>
      </c>
      <c r="C58" s="126"/>
      <c r="D58" s="160"/>
      <c r="E58" s="568" t="s">
        <v>271</v>
      </c>
      <c r="F58" s="568">
        <v>637</v>
      </c>
      <c r="G58" s="193" t="s">
        <v>545</v>
      </c>
      <c r="H58" s="381">
        <v>900</v>
      </c>
      <c r="I58" s="381">
        <v>300</v>
      </c>
      <c r="J58" s="978">
        <f t="shared" si="2"/>
        <v>33.333333333333329</v>
      </c>
      <c r="K58" s="128"/>
      <c r="L58" s="159"/>
      <c r="M58" s="159"/>
      <c r="N58" s="1033"/>
      <c r="O58" s="128"/>
      <c r="P58" s="215">
        <f t="shared" si="16"/>
        <v>900</v>
      </c>
      <c r="Q58" s="215">
        <f t="shared" si="22"/>
        <v>300</v>
      </c>
      <c r="R58" s="1000">
        <f t="shared" si="3"/>
        <v>33.333333333333329</v>
      </c>
    </row>
    <row r="59" spans="1:18" x14ac:dyDescent="0.2">
      <c r="B59" s="172">
        <f t="shared" si="4"/>
        <v>53</v>
      </c>
      <c r="C59" s="126"/>
      <c r="D59" s="160"/>
      <c r="E59" s="568" t="s">
        <v>271</v>
      </c>
      <c r="F59" s="568">
        <v>637</v>
      </c>
      <c r="G59" s="193" t="s">
        <v>827</v>
      </c>
      <c r="H59" s="381">
        <v>1150</v>
      </c>
      <c r="I59" s="381">
        <v>800</v>
      </c>
      <c r="J59" s="978">
        <f t="shared" si="2"/>
        <v>69.565217391304344</v>
      </c>
      <c r="K59" s="128"/>
      <c r="L59" s="159"/>
      <c r="M59" s="159"/>
      <c r="N59" s="1033"/>
      <c r="O59" s="128"/>
      <c r="P59" s="215">
        <f t="shared" ref="P59:P60" si="25">H59+L59</f>
        <v>1150</v>
      </c>
      <c r="Q59" s="215">
        <f t="shared" si="22"/>
        <v>800</v>
      </c>
      <c r="R59" s="1000">
        <f t="shared" si="3"/>
        <v>69.565217391304344</v>
      </c>
    </row>
    <row r="60" spans="1:18" ht="36" x14ac:dyDescent="0.2">
      <c r="B60" s="172">
        <f t="shared" si="4"/>
        <v>54</v>
      </c>
      <c r="C60" s="483"/>
      <c r="D60" s="494"/>
      <c r="E60" s="488" t="s">
        <v>277</v>
      </c>
      <c r="F60" s="488">
        <v>640</v>
      </c>
      <c r="G60" s="541" t="s">
        <v>841</v>
      </c>
      <c r="H60" s="495">
        <v>2500</v>
      </c>
      <c r="I60" s="495">
        <v>2500</v>
      </c>
      <c r="J60" s="977">
        <f t="shared" si="2"/>
        <v>100</v>
      </c>
      <c r="K60" s="475"/>
      <c r="L60" s="506"/>
      <c r="M60" s="506"/>
      <c r="N60" s="1073"/>
      <c r="O60" s="475"/>
      <c r="P60" s="507">
        <f t="shared" si="25"/>
        <v>2500</v>
      </c>
      <c r="Q60" s="507">
        <f t="shared" si="22"/>
        <v>2500</v>
      </c>
      <c r="R60" s="1010">
        <f t="shared" si="3"/>
        <v>100</v>
      </c>
    </row>
    <row r="61" spans="1:18" ht="24" x14ac:dyDescent="0.2">
      <c r="B61" s="172">
        <f t="shared" si="4"/>
        <v>55</v>
      </c>
      <c r="C61" s="483"/>
      <c r="D61" s="494"/>
      <c r="E61" s="488" t="s">
        <v>277</v>
      </c>
      <c r="F61" s="488">
        <v>640</v>
      </c>
      <c r="G61" s="541" t="s">
        <v>855</v>
      </c>
      <c r="H61" s="495">
        <v>5000</v>
      </c>
      <c r="I61" s="495">
        <v>5000</v>
      </c>
      <c r="J61" s="977">
        <f t="shared" si="2"/>
        <v>100</v>
      </c>
      <c r="K61" s="475"/>
      <c r="L61" s="506"/>
      <c r="M61" s="506"/>
      <c r="N61" s="1073"/>
      <c r="O61" s="475"/>
      <c r="P61" s="507">
        <f t="shared" ref="P61" si="26">H61+L61</f>
        <v>5000</v>
      </c>
      <c r="Q61" s="507">
        <f t="shared" si="22"/>
        <v>5000</v>
      </c>
      <c r="R61" s="1010">
        <f t="shared" si="3"/>
        <v>100</v>
      </c>
    </row>
    <row r="62" spans="1:18" ht="15.75" x14ac:dyDescent="0.25">
      <c r="B62" s="172">
        <f t="shared" si="4"/>
        <v>56</v>
      </c>
      <c r="C62" s="23">
        <v>4</v>
      </c>
      <c r="D62" s="123" t="s">
        <v>115</v>
      </c>
      <c r="E62" s="24"/>
      <c r="F62" s="24"/>
      <c r="G62" s="192"/>
      <c r="H62" s="416">
        <f>H63</f>
        <v>15000</v>
      </c>
      <c r="I62" s="416">
        <f t="shared" ref="I62" si="27">I63</f>
        <v>15000</v>
      </c>
      <c r="J62" s="971">
        <f t="shared" si="2"/>
        <v>100</v>
      </c>
      <c r="K62" s="86"/>
      <c r="L62" s="459">
        <v>0</v>
      </c>
      <c r="M62" s="459">
        <v>0</v>
      </c>
      <c r="N62" s="1030"/>
      <c r="O62" s="86"/>
      <c r="P62" s="372">
        <f t="shared" si="16"/>
        <v>15000</v>
      </c>
      <c r="Q62" s="372">
        <f t="shared" si="22"/>
        <v>15000</v>
      </c>
      <c r="R62" s="981">
        <f t="shared" si="3"/>
        <v>100</v>
      </c>
    </row>
    <row r="63" spans="1:18" s="485" customFormat="1" ht="24" x14ac:dyDescent="0.2">
      <c r="A63" s="482"/>
      <c r="B63" s="172">
        <f t="shared" si="4"/>
        <v>57</v>
      </c>
      <c r="C63" s="487"/>
      <c r="D63" s="487"/>
      <c r="E63" s="488" t="s">
        <v>241</v>
      </c>
      <c r="F63" s="488">
        <v>640</v>
      </c>
      <c r="G63" s="642" t="s">
        <v>578</v>
      </c>
      <c r="H63" s="576">
        <v>15000</v>
      </c>
      <c r="I63" s="576">
        <v>15000</v>
      </c>
      <c r="J63" s="967">
        <f t="shared" si="2"/>
        <v>100</v>
      </c>
      <c r="K63" s="475"/>
      <c r="L63" s="476"/>
      <c r="M63" s="476"/>
      <c r="N63" s="1074"/>
      <c r="O63" s="475"/>
      <c r="P63" s="489">
        <f t="shared" si="16"/>
        <v>15000</v>
      </c>
      <c r="Q63" s="489">
        <f t="shared" si="22"/>
        <v>15000</v>
      </c>
      <c r="R63" s="1013">
        <f t="shared" si="3"/>
        <v>100</v>
      </c>
    </row>
    <row r="64" spans="1:18" ht="15.75" x14ac:dyDescent="0.25">
      <c r="B64" s="172">
        <f t="shared" si="4"/>
        <v>58</v>
      </c>
      <c r="C64" s="23">
        <v>5</v>
      </c>
      <c r="D64" s="123" t="s">
        <v>116</v>
      </c>
      <c r="E64" s="24"/>
      <c r="F64" s="24"/>
      <c r="G64" s="192"/>
      <c r="H64" s="416">
        <f>H65</f>
        <v>11295</v>
      </c>
      <c r="I64" s="416">
        <f t="shared" ref="I64" si="28">I65</f>
        <v>5520</v>
      </c>
      <c r="J64" s="971">
        <f t="shared" si="2"/>
        <v>48.871181938911022</v>
      </c>
      <c r="K64" s="86"/>
      <c r="L64" s="459">
        <v>0</v>
      </c>
      <c r="M64" s="459">
        <v>0</v>
      </c>
      <c r="N64" s="1030"/>
      <c r="O64" s="86"/>
      <c r="P64" s="372">
        <f t="shared" si="16"/>
        <v>11295</v>
      </c>
      <c r="Q64" s="372">
        <f t="shared" si="22"/>
        <v>5520</v>
      </c>
      <c r="R64" s="981">
        <f t="shared" si="3"/>
        <v>48.871181938911022</v>
      </c>
    </row>
    <row r="65" spans="2:18" ht="12" customHeight="1" x14ac:dyDescent="0.2">
      <c r="B65" s="172">
        <f t="shared" si="4"/>
        <v>59</v>
      </c>
      <c r="C65" s="131"/>
      <c r="D65" s="131"/>
      <c r="E65" s="156" t="s">
        <v>241</v>
      </c>
      <c r="F65" s="156"/>
      <c r="G65" s="226" t="s">
        <v>445</v>
      </c>
      <c r="H65" s="386">
        <f>H66+H67+H68</f>
        <v>11295</v>
      </c>
      <c r="I65" s="386">
        <f t="shared" ref="I65" si="29">I66+I67+I68</f>
        <v>5520</v>
      </c>
      <c r="J65" s="965">
        <f t="shared" si="2"/>
        <v>48.871181938911022</v>
      </c>
      <c r="K65" s="128"/>
      <c r="L65" s="139"/>
      <c r="M65" s="139"/>
      <c r="N65" s="1032"/>
      <c r="O65" s="128"/>
      <c r="P65" s="575">
        <f t="shared" si="16"/>
        <v>11295</v>
      </c>
      <c r="Q65" s="575">
        <f t="shared" si="22"/>
        <v>5520</v>
      </c>
      <c r="R65" s="1001">
        <f t="shared" si="3"/>
        <v>48.871181938911022</v>
      </c>
    </row>
    <row r="66" spans="2:18" ht="12" customHeight="1" x14ac:dyDescent="0.2">
      <c r="B66" s="172">
        <f t="shared" si="4"/>
        <v>60</v>
      </c>
      <c r="C66" s="126"/>
      <c r="D66" s="126"/>
      <c r="E66" s="149"/>
      <c r="F66" s="149">
        <v>610</v>
      </c>
      <c r="G66" s="201" t="s">
        <v>257</v>
      </c>
      <c r="H66" s="387">
        <v>1100</v>
      </c>
      <c r="I66" s="387">
        <v>1089</v>
      </c>
      <c r="J66" s="965">
        <f t="shared" si="2"/>
        <v>99</v>
      </c>
      <c r="K66" s="128"/>
      <c r="L66" s="139"/>
      <c r="M66" s="139"/>
      <c r="N66" s="1032"/>
      <c r="O66" s="128"/>
      <c r="P66" s="575">
        <f t="shared" si="16"/>
        <v>1100</v>
      </c>
      <c r="Q66" s="575">
        <f t="shared" si="22"/>
        <v>1089</v>
      </c>
      <c r="R66" s="1001">
        <f t="shared" si="3"/>
        <v>99</v>
      </c>
    </row>
    <row r="67" spans="2:18" ht="12" customHeight="1" x14ac:dyDescent="0.2">
      <c r="B67" s="172">
        <f t="shared" si="4"/>
        <v>61</v>
      </c>
      <c r="C67" s="126"/>
      <c r="D67" s="126"/>
      <c r="E67" s="130"/>
      <c r="F67" s="149">
        <v>620</v>
      </c>
      <c r="G67" s="201" t="s">
        <v>259</v>
      </c>
      <c r="H67" s="387">
        <v>395</v>
      </c>
      <c r="I67" s="387">
        <v>389</v>
      </c>
      <c r="J67" s="965">
        <f t="shared" si="2"/>
        <v>98.481012658227854</v>
      </c>
      <c r="K67" s="128"/>
      <c r="L67" s="139"/>
      <c r="M67" s="139"/>
      <c r="N67" s="1032"/>
      <c r="O67" s="128"/>
      <c r="P67" s="575">
        <f t="shared" si="16"/>
        <v>395</v>
      </c>
      <c r="Q67" s="575">
        <f t="shared" si="22"/>
        <v>389</v>
      </c>
      <c r="R67" s="1001">
        <f t="shared" si="3"/>
        <v>98.481012658227854</v>
      </c>
    </row>
    <row r="68" spans="2:18" ht="12" customHeight="1" x14ac:dyDescent="0.2">
      <c r="B68" s="172">
        <f t="shared" si="4"/>
        <v>62</v>
      </c>
      <c r="C68" s="126"/>
      <c r="D68" s="126"/>
      <c r="E68" s="130"/>
      <c r="F68" s="149">
        <v>630</v>
      </c>
      <c r="G68" s="201" t="s">
        <v>236</v>
      </c>
      <c r="H68" s="387">
        <f>SUM(H69:H71)</f>
        <v>9800</v>
      </c>
      <c r="I68" s="387">
        <f t="shared" ref="I68" si="30">SUM(I69:I71)</f>
        <v>4042</v>
      </c>
      <c r="J68" s="965">
        <f t="shared" si="2"/>
        <v>41.244897959183675</v>
      </c>
      <c r="K68" s="128"/>
      <c r="L68" s="139"/>
      <c r="M68" s="139"/>
      <c r="N68" s="1032"/>
      <c r="O68" s="128"/>
      <c r="P68" s="575">
        <f t="shared" si="16"/>
        <v>9800</v>
      </c>
      <c r="Q68" s="575">
        <f t="shared" si="22"/>
        <v>4042</v>
      </c>
      <c r="R68" s="1001">
        <f t="shared" si="3"/>
        <v>41.244897959183675</v>
      </c>
    </row>
    <row r="69" spans="2:18" ht="12" customHeight="1" x14ac:dyDescent="0.2">
      <c r="B69" s="172">
        <f t="shared" si="4"/>
        <v>63</v>
      </c>
      <c r="C69" s="126"/>
      <c r="D69" s="126"/>
      <c r="E69" s="130"/>
      <c r="F69" s="130">
        <v>632</v>
      </c>
      <c r="G69" s="193" t="s">
        <v>246</v>
      </c>
      <c r="H69" s="570">
        <f>5000-350</f>
        <v>4650</v>
      </c>
      <c r="I69" s="570">
        <v>3558</v>
      </c>
      <c r="J69" s="966">
        <f t="shared" si="2"/>
        <v>76.516129032258064</v>
      </c>
      <c r="K69" s="128"/>
      <c r="L69" s="139"/>
      <c r="M69" s="139"/>
      <c r="N69" s="1032"/>
      <c r="O69" s="128"/>
      <c r="P69" s="169">
        <f t="shared" si="16"/>
        <v>4650</v>
      </c>
      <c r="Q69" s="169">
        <f t="shared" si="22"/>
        <v>3558</v>
      </c>
      <c r="R69" s="986">
        <f t="shared" si="3"/>
        <v>76.516129032258064</v>
      </c>
    </row>
    <row r="70" spans="2:18" ht="12" customHeight="1" x14ac:dyDescent="0.2">
      <c r="B70" s="172">
        <f t="shared" si="4"/>
        <v>64</v>
      </c>
      <c r="C70" s="126"/>
      <c r="D70" s="126"/>
      <c r="E70" s="130"/>
      <c r="F70" s="130">
        <v>633</v>
      </c>
      <c r="G70" s="193" t="s">
        <v>247</v>
      </c>
      <c r="H70" s="570">
        <f>1250+2000</f>
        <v>3250</v>
      </c>
      <c r="I70" s="570">
        <v>130</v>
      </c>
      <c r="J70" s="966">
        <f t="shared" si="2"/>
        <v>4</v>
      </c>
      <c r="K70" s="128"/>
      <c r="L70" s="139"/>
      <c r="M70" s="139"/>
      <c r="N70" s="1032"/>
      <c r="O70" s="128"/>
      <c r="P70" s="169">
        <f t="shared" si="16"/>
        <v>3250</v>
      </c>
      <c r="Q70" s="169">
        <f t="shared" si="22"/>
        <v>130</v>
      </c>
      <c r="R70" s="986">
        <f t="shared" si="3"/>
        <v>4</v>
      </c>
    </row>
    <row r="71" spans="2:18" ht="15" customHeight="1" thickBot="1" x14ac:dyDescent="0.25">
      <c r="B71" s="172">
        <f t="shared" si="4"/>
        <v>65</v>
      </c>
      <c r="C71" s="126"/>
      <c r="D71" s="126"/>
      <c r="E71" s="130"/>
      <c r="F71" s="130">
        <v>637</v>
      </c>
      <c r="G71" s="193" t="s">
        <v>248</v>
      </c>
      <c r="H71" s="570">
        <v>1900</v>
      </c>
      <c r="I71" s="570">
        <v>354</v>
      </c>
      <c r="J71" s="966">
        <f t="shared" ref="J71:J83" si="31">I71/H71*100</f>
        <v>18.631578947368421</v>
      </c>
      <c r="K71" s="137"/>
      <c r="L71" s="139"/>
      <c r="M71" s="139"/>
      <c r="N71" s="1032"/>
      <c r="O71" s="128"/>
      <c r="P71" s="169">
        <f t="shared" si="16"/>
        <v>1900</v>
      </c>
      <c r="Q71" s="169">
        <f t="shared" si="22"/>
        <v>354</v>
      </c>
      <c r="R71" s="986">
        <f t="shared" ref="R71:R83" si="32">Q71/P71*100</f>
        <v>18.631578947368421</v>
      </c>
    </row>
    <row r="72" spans="2:18" ht="15.75" x14ac:dyDescent="0.25">
      <c r="B72" s="172">
        <f t="shared" si="4"/>
        <v>66</v>
      </c>
      <c r="C72" s="23">
        <v>6</v>
      </c>
      <c r="D72" s="123" t="s">
        <v>176</v>
      </c>
      <c r="E72" s="24"/>
      <c r="F72" s="24"/>
      <c r="G72" s="192"/>
      <c r="H72" s="416">
        <f>H73</f>
        <v>191950</v>
      </c>
      <c r="I72" s="416">
        <f t="shared" ref="I72" si="33">I73</f>
        <v>170189</v>
      </c>
      <c r="J72" s="971">
        <f t="shared" si="31"/>
        <v>88.663193539984377</v>
      </c>
      <c r="K72" s="86"/>
      <c r="L72" s="459">
        <f>SUM(L73:L83)</f>
        <v>0</v>
      </c>
      <c r="M72" s="459">
        <f t="shared" ref="M72" si="34">SUM(M73:M83)</f>
        <v>0</v>
      </c>
      <c r="N72" s="1030"/>
      <c r="O72" s="86"/>
      <c r="P72" s="372">
        <f t="shared" si="16"/>
        <v>191950</v>
      </c>
      <c r="Q72" s="372">
        <f t="shared" si="22"/>
        <v>170189</v>
      </c>
      <c r="R72" s="981">
        <f t="shared" si="32"/>
        <v>88.663193539984377</v>
      </c>
    </row>
    <row r="73" spans="2:18" ht="12" customHeight="1" x14ac:dyDescent="0.2">
      <c r="B73" s="172">
        <f t="shared" si="4"/>
        <v>67</v>
      </c>
      <c r="C73" s="131"/>
      <c r="D73" s="131"/>
      <c r="E73" s="156" t="s">
        <v>241</v>
      </c>
      <c r="F73" s="156"/>
      <c r="G73" s="226" t="s">
        <v>445</v>
      </c>
      <c r="H73" s="386">
        <f>H74+H75+H76+H83</f>
        <v>191950</v>
      </c>
      <c r="I73" s="386">
        <f t="shared" ref="I73" si="35">I74+I75+I76+I83</f>
        <v>170189</v>
      </c>
      <c r="J73" s="965">
        <f t="shared" si="31"/>
        <v>88.663193539984377</v>
      </c>
      <c r="K73" s="128"/>
      <c r="L73" s="139"/>
      <c r="M73" s="139"/>
      <c r="N73" s="1032"/>
      <c r="O73" s="128"/>
      <c r="P73" s="575">
        <f t="shared" si="16"/>
        <v>191950</v>
      </c>
      <c r="Q73" s="575">
        <f t="shared" si="22"/>
        <v>170189</v>
      </c>
      <c r="R73" s="1001">
        <f t="shared" si="32"/>
        <v>88.663193539984377</v>
      </c>
    </row>
    <row r="74" spans="2:18" ht="12" customHeight="1" x14ac:dyDescent="0.2">
      <c r="B74" s="172">
        <f t="shared" si="4"/>
        <v>68</v>
      </c>
      <c r="C74" s="126"/>
      <c r="D74" s="126"/>
      <c r="E74" s="149"/>
      <c r="F74" s="149">
        <v>610</v>
      </c>
      <c r="G74" s="201" t="s">
        <v>257</v>
      </c>
      <c r="H74" s="387">
        <f>49800+17900+18200</f>
        <v>85900</v>
      </c>
      <c r="I74" s="387">
        <v>84791</v>
      </c>
      <c r="J74" s="965">
        <f t="shared" si="31"/>
        <v>98.708963911525032</v>
      </c>
      <c r="K74" s="128"/>
      <c r="L74" s="139"/>
      <c r="M74" s="139"/>
      <c r="N74" s="1032"/>
      <c r="O74" s="128"/>
      <c r="P74" s="575">
        <f t="shared" si="16"/>
        <v>85900</v>
      </c>
      <c r="Q74" s="575">
        <f t="shared" si="22"/>
        <v>84791</v>
      </c>
      <c r="R74" s="1001">
        <f t="shared" si="32"/>
        <v>98.708963911525032</v>
      </c>
    </row>
    <row r="75" spans="2:18" ht="12" customHeight="1" x14ac:dyDescent="0.2">
      <c r="B75" s="172">
        <f t="shared" si="4"/>
        <v>69</v>
      </c>
      <c r="C75" s="126"/>
      <c r="D75" s="126"/>
      <c r="E75" s="130"/>
      <c r="F75" s="149">
        <v>620</v>
      </c>
      <c r="G75" s="201" t="s">
        <v>259</v>
      </c>
      <c r="H75" s="387">
        <f>10150+1420+14210+815+3045+1015+4825+1080</f>
        <v>36560</v>
      </c>
      <c r="I75" s="387">
        <v>36559</v>
      </c>
      <c r="J75" s="965">
        <f t="shared" si="31"/>
        <v>99.997264770240704</v>
      </c>
      <c r="K75" s="128"/>
      <c r="L75" s="139"/>
      <c r="M75" s="139"/>
      <c r="N75" s="1032"/>
      <c r="O75" s="128"/>
      <c r="P75" s="575">
        <f t="shared" si="16"/>
        <v>36560</v>
      </c>
      <c r="Q75" s="575">
        <f t="shared" si="22"/>
        <v>36559</v>
      </c>
      <c r="R75" s="1001">
        <f t="shared" si="32"/>
        <v>99.997264770240704</v>
      </c>
    </row>
    <row r="76" spans="2:18" ht="12" customHeight="1" x14ac:dyDescent="0.2">
      <c r="B76" s="172">
        <f t="shared" si="4"/>
        <v>70</v>
      </c>
      <c r="C76" s="126"/>
      <c r="D76" s="126"/>
      <c r="E76" s="130"/>
      <c r="F76" s="149">
        <v>630</v>
      </c>
      <c r="G76" s="201" t="s">
        <v>236</v>
      </c>
      <c r="H76" s="387">
        <f>SUM(H77:H82)</f>
        <v>66140</v>
      </c>
      <c r="I76" s="387">
        <f t="shared" ref="I76" si="36">SUM(I77:I82)</f>
        <v>46318</v>
      </c>
      <c r="J76" s="965">
        <f t="shared" si="31"/>
        <v>70.030238887208952</v>
      </c>
      <c r="K76" s="128"/>
      <c r="L76" s="139"/>
      <c r="M76" s="139"/>
      <c r="N76" s="1032"/>
      <c r="O76" s="128"/>
      <c r="P76" s="575">
        <f t="shared" si="16"/>
        <v>66140</v>
      </c>
      <c r="Q76" s="575">
        <f t="shared" si="22"/>
        <v>46318</v>
      </c>
      <c r="R76" s="1001">
        <f t="shared" si="32"/>
        <v>70.030238887208952</v>
      </c>
    </row>
    <row r="77" spans="2:18" ht="12" customHeight="1" x14ac:dyDescent="0.2">
      <c r="B77" s="172">
        <f t="shared" si="4"/>
        <v>71</v>
      </c>
      <c r="C77" s="126"/>
      <c r="D77" s="126"/>
      <c r="E77" s="130"/>
      <c r="F77" s="130">
        <v>631</v>
      </c>
      <c r="G77" s="193" t="s">
        <v>520</v>
      </c>
      <c r="H77" s="570">
        <f>100</f>
        <v>100</v>
      </c>
      <c r="I77" s="570">
        <v>4</v>
      </c>
      <c r="J77" s="966">
        <f t="shared" si="31"/>
        <v>4</v>
      </c>
      <c r="K77" s="128"/>
      <c r="L77" s="139"/>
      <c r="M77" s="139"/>
      <c r="N77" s="1032"/>
      <c r="O77" s="128"/>
      <c r="P77" s="169">
        <f t="shared" si="16"/>
        <v>100</v>
      </c>
      <c r="Q77" s="169">
        <f t="shared" si="22"/>
        <v>4</v>
      </c>
      <c r="R77" s="986">
        <f t="shared" si="32"/>
        <v>4</v>
      </c>
    </row>
    <row r="78" spans="2:18" ht="12" customHeight="1" x14ac:dyDescent="0.2">
      <c r="B78" s="172">
        <f t="shared" si="4"/>
        <v>72</v>
      </c>
      <c r="C78" s="126"/>
      <c r="D78" s="126"/>
      <c r="E78" s="130"/>
      <c r="F78" s="130">
        <v>632</v>
      </c>
      <c r="G78" s="193" t="s">
        <v>246</v>
      </c>
      <c r="H78" s="570">
        <f>2700+500+350</f>
        <v>3550</v>
      </c>
      <c r="I78" s="570">
        <v>3456</v>
      </c>
      <c r="J78" s="966">
        <f t="shared" si="31"/>
        <v>97.352112676056336</v>
      </c>
      <c r="K78" s="128"/>
      <c r="L78" s="139"/>
      <c r="M78" s="139"/>
      <c r="N78" s="1032"/>
      <c r="O78" s="128"/>
      <c r="P78" s="169">
        <f t="shared" si="16"/>
        <v>3550</v>
      </c>
      <c r="Q78" s="169">
        <f t="shared" si="22"/>
        <v>3456</v>
      </c>
      <c r="R78" s="986">
        <f t="shared" si="32"/>
        <v>97.352112676056336</v>
      </c>
    </row>
    <row r="79" spans="2:18" ht="12" customHeight="1" x14ac:dyDescent="0.2">
      <c r="B79" s="172">
        <f t="shared" ref="B79:B83" si="37">B78+1</f>
        <v>73</v>
      </c>
      <c r="C79" s="126"/>
      <c r="D79" s="126"/>
      <c r="E79" s="130"/>
      <c r="F79" s="130">
        <v>633</v>
      </c>
      <c r="G79" s="193" t="s">
        <v>247</v>
      </c>
      <c r="H79" s="570">
        <f>1000+1700+200+500+50</f>
        <v>3450</v>
      </c>
      <c r="I79" s="570">
        <v>2458</v>
      </c>
      <c r="J79" s="966">
        <f t="shared" si="31"/>
        <v>71.246376811594203</v>
      </c>
      <c r="K79" s="128"/>
      <c r="L79" s="139"/>
      <c r="M79" s="139"/>
      <c r="N79" s="1032"/>
      <c r="O79" s="128"/>
      <c r="P79" s="169">
        <f t="shared" si="16"/>
        <v>3450</v>
      </c>
      <c r="Q79" s="169">
        <f t="shared" si="22"/>
        <v>2458</v>
      </c>
      <c r="R79" s="986">
        <f t="shared" si="32"/>
        <v>71.246376811594203</v>
      </c>
    </row>
    <row r="80" spans="2:18" ht="12" customHeight="1" x14ac:dyDescent="0.2">
      <c r="B80" s="172">
        <f t="shared" si="37"/>
        <v>74</v>
      </c>
      <c r="C80" s="126"/>
      <c r="D80" s="126"/>
      <c r="E80" s="130"/>
      <c r="F80" s="130">
        <v>634</v>
      </c>
      <c r="G80" s="193" t="s">
        <v>260</v>
      </c>
      <c r="H80" s="570">
        <f>3200+2500+4000+400</f>
        <v>10100</v>
      </c>
      <c r="I80" s="570">
        <v>9285</v>
      </c>
      <c r="J80" s="966">
        <f t="shared" si="31"/>
        <v>91.93069306930694</v>
      </c>
      <c r="K80" s="128"/>
      <c r="L80" s="139"/>
      <c r="M80" s="139"/>
      <c r="N80" s="1032"/>
      <c r="O80" s="128"/>
      <c r="P80" s="169">
        <f t="shared" si="16"/>
        <v>10100</v>
      </c>
      <c r="Q80" s="169">
        <f t="shared" si="22"/>
        <v>9285</v>
      </c>
      <c r="R80" s="986">
        <f t="shared" si="32"/>
        <v>91.93069306930694</v>
      </c>
    </row>
    <row r="81" spans="2:18" ht="12" customHeight="1" x14ac:dyDescent="0.2">
      <c r="B81" s="172">
        <f t="shared" si="37"/>
        <v>75</v>
      </c>
      <c r="C81" s="126"/>
      <c r="D81" s="126"/>
      <c r="E81" s="130"/>
      <c r="F81" s="130">
        <v>635</v>
      </c>
      <c r="G81" s="193" t="s">
        <v>261</v>
      </c>
      <c r="H81" s="570">
        <f>4000+100</f>
        <v>4100</v>
      </c>
      <c r="I81" s="570">
        <v>2853</v>
      </c>
      <c r="J81" s="966">
        <f t="shared" si="31"/>
        <v>69.58536585365853</v>
      </c>
      <c r="K81" s="128"/>
      <c r="L81" s="139"/>
      <c r="M81" s="139"/>
      <c r="N81" s="1032"/>
      <c r="O81" s="128"/>
      <c r="P81" s="169">
        <f t="shared" si="16"/>
        <v>4100</v>
      </c>
      <c r="Q81" s="169">
        <f t="shared" si="22"/>
        <v>2853</v>
      </c>
      <c r="R81" s="986">
        <f t="shared" si="32"/>
        <v>69.58536585365853</v>
      </c>
    </row>
    <row r="82" spans="2:18" ht="12" customHeight="1" x14ac:dyDescent="0.2">
      <c r="B82" s="172">
        <f t="shared" si="37"/>
        <v>76</v>
      </c>
      <c r="C82" s="126"/>
      <c r="D82" s="126"/>
      <c r="E82" s="130"/>
      <c r="F82" s="130">
        <v>637</v>
      </c>
      <c r="G82" s="193" t="s">
        <v>248</v>
      </c>
      <c r="H82" s="570">
        <f>56440-2000-3200-6400</f>
        <v>44840</v>
      </c>
      <c r="I82" s="570">
        <v>28262</v>
      </c>
      <c r="J82" s="966">
        <f t="shared" si="31"/>
        <v>63.028545941123994</v>
      </c>
      <c r="K82" s="148"/>
      <c r="L82" s="139"/>
      <c r="M82" s="139"/>
      <c r="N82" s="1032"/>
      <c r="O82" s="128"/>
      <c r="P82" s="169">
        <f t="shared" si="16"/>
        <v>44840</v>
      </c>
      <c r="Q82" s="169">
        <f t="shared" si="22"/>
        <v>28262</v>
      </c>
      <c r="R82" s="986">
        <f t="shared" si="32"/>
        <v>63.028545941123994</v>
      </c>
    </row>
    <row r="83" spans="2:18" ht="12" customHeight="1" thickBot="1" x14ac:dyDescent="0.25">
      <c r="B83" s="209">
        <f t="shared" si="37"/>
        <v>77</v>
      </c>
      <c r="C83" s="350"/>
      <c r="D83" s="350"/>
      <c r="E83" s="213"/>
      <c r="F83" s="827">
        <v>640</v>
      </c>
      <c r="G83" s="828" t="s">
        <v>425</v>
      </c>
      <c r="H83" s="829">
        <f>150+3200</f>
        <v>3350</v>
      </c>
      <c r="I83" s="829">
        <v>2521</v>
      </c>
      <c r="J83" s="1070">
        <f t="shared" si="31"/>
        <v>75.253731343283576</v>
      </c>
      <c r="K83" s="137"/>
      <c r="L83" s="674"/>
      <c r="M83" s="674"/>
      <c r="N83" s="1075"/>
      <c r="O83" s="137"/>
      <c r="P83" s="830">
        <f t="shared" si="16"/>
        <v>3350</v>
      </c>
      <c r="Q83" s="830">
        <f t="shared" si="22"/>
        <v>2521</v>
      </c>
      <c r="R83" s="1079">
        <f t="shared" si="32"/>
        <v>75.253731343283576</v>
      </c>
    </row>
    <row r="84" spans="2:18" ht="15" customHeight="1" x14ac:dyDescent="0.2">
      <c r="B84" s="534"/>
      <c r="C84" s="535"/>
      <c r="D84" s="242"/>
      <c r="E84" s="242"/>
      <c r="F84" s="242"/>
      <c r="G84" s="536"/>
      <c r="H84" s="25"/>
      <c r="I84" s="25"/>
      <c r="K84" s="25"/>
      <c r="L84" s="25"/>
      <c r="M84" s="25"/>
      <c r="O84" s="25"/>
      <c r="P84" s="25"/>
      <c r="Q84" s="25"/>
    </row>
  </sheetData>
  <mergeCells count="14">
    <mergeCell ref="L5:L6"/>
    <mergeCell ref="I5:I6"/>
    <mergeCell ref="J5:J6"/>
    <mergeCell ref="B4:N4"/>
    <mergeCell ref="C5:C6"/>
    <mergeCell ref="D5:D6"/>
    <mergeCell ref="E5:E6"/>
    <mergeCell ref="F5:F6"/>
    <mergeCell ref="H5:H6"/>
    <mergeCell ref="Q4:Q6"/>
    <mergeCell ref="R4:R6"/>
    <mergeCell ref="M5:M6"/>
    <mergeCell ref="N5:N6"/>
    <mergeCell ref="P4:P6"/>
  </mergeCells>
  <pageMargins left="0.35433070866141736" right="0.23622047244094491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6.42578125" style="1025" customWidth="1"/>
    <col min="11" max="11" width="2.140625" style="76" customWidth="1"/>
    <col min="12" max="13" width="14.28515625" style="76" customWidth="1"/>
    <col min="14" max="14" width="5.42578125" style="1080" customWidth="1"/>
    <col min="15" max="15" width="1.42578125" style="76" customWidth="1"/>
    <col min="16" max="17" width="12.85546875" style="76" customWidth="1"/>
    <col min="18" max="18" width="6" style="1025" customWidth="1"/>
  </cols>
  <sheetData>
    <row r="1" spans="2:18" ht="15" customHeight="1" x14ac:dyDescent="0.2">
      <c r="B1" s="534"/>
      <c r="C1" s="535"/>
      <c r="D1" s="242"/>
      <c r="E1" s="242"/>
      <c r="F1" s="242"/>
      <c r="G1" s="590"/>
      <c r="H1" s="591"/>
      <c r="I1" s="591"/>
      <c r="J1" s="1026"/>
      <c r="K1" s="25"/>
      <c r="L1" s="25"/>
      <c r="M1" s="25"/>
      <c r="O1" s="25"/>
      <c r="P1" s="25"/>
      <c r="Q1" s="25"/>
    </row>
    <row r="2" spans="2:18" ht="30" customHeight="1" thickBot="1" x14ac:dyDescent="0.4">
      <c r="B2" s="537" t="s">
        <v>165</v>
      </c>
      <c r="C2" s="537"/>
      <c r="D2" s="537"/>
      <c r="E2" s="537"/>
      <c r="F2" s="537"/>
      <c r="G2" s="537"/>
      <c r="H2" s="538"/>
      <c r="I2" s="538"/>
      <c r="J2" s="1045"/>
      <c r="K2" s="537"/>
      <c r="L2" s="537"/>
      <c r="M2" s="537"/>
      <c r="N2" s="1081"/>
      <c r="O2" s="537"/>
      <c r="P2" s="537"/>
      <c r="Q2" s="537"/>
      <c r="R2" s="1045"/>
    </row>
    <row r="3" spans="2:18" ht="13.5" customHeight="1" thickBot="1" x14ac:dyDescent="0.25">
      <c r="B3" s="1131" t="s">
        <v>632</v>
      </c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3"/>
      <c r="O3" s="116"/>
      <c r="P3" s="1125" t="s">
        <v>716</v>
      </c>
      <c r="Q3" s="1125" t="s">
        <v>886</v>
      </c>
      <c r="R3" s="1128" t="s">
        <v>887</v>
      </c>
    </row>
    <row r="4" spans="2:18" ht="31.5" customHeight="1" thickTop="1" x14ac:dyDescent="0.2">
      <c r="B4" s="548"/>
      <c r="C4" s="1141" t="s">
        <v>478</v>
      </c>
      <c r="D4" s="1141" t="s">
        <v>477</v>
      </c>
      <c r="E4" s="1141" t="s">
        <v>475</v>
      </c>
      <c r="F4" s="1141" t="s">
        <v>476</v>
      </c>
      <c r="G4" s="550" t="s">
        <v>3</v>
      </c>
      <c r="H4" s="1135" t="s">
        <v>902</v>
      </c>
      <c r="I4" s="1135" t="s">
        <v>903</v>
      </c>
      <c r="J4" s="1139" t="s">
        <v>887</v>
      </c>
      <c r="L4" s="1137" t="s">
        <v>904</v>
      </c>
      <c r="M4" s="1137" t="s">
        <v>905</v>
      </c>
      <c r="N4" s="1139" t="s">
        <v>887</v>
      </c>
      <c r="P4" s="1126"/>
      <c r="Q4" s="1126"/>
      <c r="R4" s="1129"/>
    </row>
    <row r="5" spans="2:18" ht="45.75" customHeight="1" thickBot="1" x14ac:dyDescent="0.25">
      <c r="B5" s="925"/>
      <c r="C5" s="1124"/>
      <c r="D5" s="1124"/>
      <c r="E5" s="1124"/>
      <c r="F5" s="1124"/>
      <c r="G5" s="551"/>
      <c r="H5" s="1136"/>
      <c r="I5" s="1136"/>
      <c r="J5" s="1140"/>
      <c r="L5" s="1138"/>
      <c r="M5" s="1138"/>
      <c r="N5" s="1140"/>
      <c r="P5" s="1127"/>
      <c r="Q5" s="1127"/>
      <c r="R5" s="1130"/>
    </row>
    <row r="6" spans="2:18" ht="19.5" thickTop="1" thickBot="1" x14ac:dyDescent="0.25">
      <c r="B6" s="651">
        <v>1</v>
      </c>
      <c r="C6" s="121" t="s">
        <v>228</v>
      </c>
      <c r="D6" s="109"/>
      <c r="E6" s="109"/>
      <c r="F6" s="109"/>
      <c r="G6" s="203"/>
      <c r="H6" s="411">
        <f>H7+H17+H19+H33+H42+H86+H105+H116+H118+H124+H133</f>
        <v>2051295</v>
      </c>
      <c r="I6" s="411">
        <f t="shared" ref="I6" si="0">I7+I17+I19+I33+I42+I86+I105+I116+I118+I124+I133</f>
        <v>2007313</v>
      </c>
      <c r="J6" s="969">
        <f>I6/H6*100</f>
        <v>97.855891034687843</v>
      </c>
      <c r="K6" s="111"/>
      <c r="L6" s="196">
        <f>L7+L17+L19+L33+L42+L86+L105+L116+L118+L124+L133</f>
        <v>0</v>
      </c>
      <c r="M6" s="196">
        <f t="shared" ref="M6" si="1">M7+M17+M19+M33+M42+M86+M105+M116+M118+M124+M133</f>
        <v>0</v>
      </c>
      <c r="N6" s="1082"/>
      <c r="O6" s="111"/>
      <c r="P6" s="371">
        <f t="shared" ref="P6:P58" si="2">H6+L6</f>
        <v>2051295</v>
      </c>
      <c r="Q6" s="371">
        <f t="shared" ref="Q6:Q52" si="3">I6+M6</f>
        <v>2007313</v>
      </c>
      <c r="R6" s="992">
        <f>Q6/P6*100</f>
        <v>97.855891034687843</v>
      </c>
    </row>
    <row r="7" spans="2:18" ht="16.5" thickTop="1" x14ac:dyDescent="0.25">
      <c r="B7" s="172">
        <f>B6+1</f>
        <v>2</v>
      </c>
      <c r="C7" s="23">
        <v>1</v>
      </c>
      <c r="D7" s="123" t="s">
        <v>100</v>
      </c>
      <c r="E7" s="24"/>
      <c r="F7" s="24"/>
      <c r="G7" s="192"/>
      <c r="H7" s="412">
        <f>H8</f>
        <v>174967</v>
      </c>
      <c r="I7" s="412">
        <f t="shared" ref="I7" si="4">I8</f>
        <v>173167</v>
      </c>
      <c r="J7" s="994">
        <f t="shared" ref="J7:J70" si="5">I7/H7*100</f>
        <v>98.971234575662834</v>
      </c>
      <c r="K7" s="86"/>
      <c r="L7" s="456">
        <f>L8</f>
        <v>0</v>
      </c>
      <c r="M7" s="456">
        <f t="shared" ref="M7" si="6">M8</f>
        <v>0</v>
      </c>
      <c r="N7" s="1083"/>
      <c r="O7" s="86"/>
      <c r="P7" s="372">
        <f t="shared" si="2"/>
        <v>174967</v>
      </c>
      <c r="Q7" s="372">
        <f t="shared" si="3"/>
        <v>173167</v>
      </c>
      <c r="R7" s="981">
        <f t="shared" ref="R7:R70" si="7">Q7/P7*100</f>
        <v>98.971234575662834</v>
      </c>
    </row>
    <row r="8" spans="2:18" ht="12" customHeight="1" x14ac:dyDescent="0.2">
      <c r="B8" s="172">
        <f t="shared" ref="B8:B78" si="8">B7+1</f>
        <v>3</v>
      </c>
      <c r="C8" s="142"/>
      <c r="D8" s="143"/>
      <c r="E8" s="356" t="s">
        <v>675</v>
      </c>
      <c r="F8" s="356"/>
      <c r="G8" s="357" t="s">
        <v>451</v>
      </c>
      <c r="H8" s="405">
        <f>H9+H10+H11+H16</f>
        <v>174967</v>
      </c>
      <c r="I8" s="405">
        <f t="shared" ref="I8" si="9">I9+I10+I11+I16</f>
        <v>173167</v>
      </c>
      <c r="J8" s="965">
        <f t="shared" si="5"/>
        <v>98.971234575662834</v>
      </c>
      <c r="K8" s="358"/>
      <c r="L8" s="460">
        <v>0</v>
      </c>
      <c r="M8" s="460">
        <v>0</v>
      </c>
      <c r="N8" s="1085"/>
      <c r="O8" s="358"/>
      <c r="P8" s="359">
        <f t="shared" si="2"/>
        <v>174967</v>
      </c>
      <c r="Q8" s="359">
        <f t="shared" si="3"/>
        <v>173167</v>
      </c>
      <c r="R8" s="982">
        <f t="shared" si="7"/>
        <v>98.971234575662834</v>
      </c>
    </row>
    <row r="9" spans="2:18" ht="12" customHeight="1" x14ac:dyDescent="0.2">
      <c r="B9" s="172">
        <f t="shared" si="8"/>
        <v>4</v>
      </c>
      <c r="C9" s="142"/>
      <c r="D9" s="143"/>
      <c r="E9" s="149"/>
      <c r="F9" s="149">
        <v>610</v>
      </c>
      <c r="G9" s="201" t="s">
        <v>257</v>
      </c>
      <c r="H9" s="387">
        <f>94630-3350-70</f>
        <v>91210</v>
      </c>
      <c r="I9" s="387">
        <v>91209</v>
      </c>
      <c r="J9" s="965">
        <f t="shared" si="5"/>
        <v>99.998903628988046</v>
      </c>
      <c r="K9" s="145"/>
      <c r="L9" s="394"/>
      <c r="M9" s="394"/>
      <c r="N9" s="1085"/>
      <c r="O9" s="145"/>
      <c r="P9" s="167">
        <f t="shared" si="2"/>
        <v>91210</v>
      </c>
      <c r="Q9" s="167">
        <f t="shared" si="3"/>
        <v>91209</v>
      </c>
      <c r="R9" s="982">
        <f t="shared" si="7"/>
        <v>99.998903628988046</v>
      </c>
    </row>
    <row r="10" spans="2:18" ht="12" customHeight="1" x14ac:dyDescent="0.2">
      <c r="B10" s="172">
        <f t="shared" si="8"/>
        <v>5</v>
      </c>
      <c r="C10" s="142"/>
      <c r="D10" s="143"/>
      <c r="E10" s="130"/>
      <c r="F10" s="149">
        <v>620</v>
      </c>
      <c r="G10" s="201" t="s">
        <v>259</v>
      </c>
      <c r="H10" s="387">
        <f>32965+250+34</f>
        <v>33249</v>
      </c>
      <c r="I10" s="387">
        <v>33249</v>
      </c>
      <c r="J10" s="965">
        <f t="shared" si="5"/>
        <v>100</v>
      </c>
      <c r="K10" s="145"/>
      <c r="L10" s="394"/>
      <c r="M10" s="394"/>
      <c r="N10" s="1085"/>
      <c r="O10" s="145"/>
      <c r="P10" s="167">
        <f t="shared" si="2"/>
        <v>33249</v>
      </c>
      <c r="Q10" s="167">
        <f t="shared" si="3"/>
        <v>33249</v>
      </c>
      <c r="R10" s="982">
        <f t="shared" si="7"/>
        <v>100</v>
      </c>
    </row>
    <row r="11" spans="2:18" ht="12" customHeight="1" x14ac:dyDescent="0.2">
      <c r="B11" s="172">
        <f t="shared" si="8"/>
        <v>6</v>
      </c>
      <c r="C11" s="142"/>
      <c r="D11" s="143"/>
      <c r="E11" s="130"/>
      <c r="F11" s="149">
        <v>630</v>
      </c>
      <c r="G11" s="201" t="s">
        <v>341</v>
      </c>
      <c r="H11" s="387">
        <f>SUM(H12:H15)</f>
        <v>50402</v>
      </c>
      <c r="I11" s="387">
        <f t="shared" ref="I11" si="10">SUM(I12:I15)</f>
        <v>48603</v>
      </c>
      <c r="J11" s="965">
        <f t="shared" si="5"/>
        <v>96.430697194555776</v>
      </c>
      <c r="K11" s="145"/>
      <c r="L11" s="394"/>
      <c r="M11" s="394"/>
      <c r="N11" s="1085"/>
      <c r="O11" s="145"/>
      <c r="P11" s="167">
        <f t="shared" si="2"/>
        <v>50402</v>
      </c>
      <c r="Q11" s="167">
        <f t="shared" si="3"/>
        <v>48603</v>
      </c>
      <c r="R11" s="982">
        <f t="shared" si="7"/>
        <v>96.430697194555776</v>
      </c>
    </row>
    <row r="12" spans="2:18" ht="12" customHeight="1" x14ac:dyDescent="0.2">
      <c r="B12" s="172">
        <f t="shared" si="8"/>
        <v>7</v>
      </c>
      <c r="C12" s="142"/>
      <c r="D12" s="143"/>
      <c r="E12" s="130"/>
      <c r="F12" s="130">
        <v>632</v>
      </c>
      <c r="G12" s="193" t="s">
        <v>246</v>
      </c>
      <c r="H12" s="570">
        <f>15880+487+4200+200</f>
        <v>20767</v>
      </c>
      <c r="I12" s="570">
        <v>19669</v>
      </c>
      <c r="J12" s="966">
        <f t="shared" si="5"/>
        <v>94.712765445177453</v>
      </c>
      <c r="K12" s="145"/>
      <c r="L12" s="394"/>
      <c r="M12" s="394"/>
      <c r="N12" s="1085"/>
      <c r="O12" s="145"/>
      <c r="P12" s="168">
        <f t="shared" si="2"/>
        <v>20767</v>
      </c>
      <c r="Q12" s="168">
        <f t="shared" si="3"/>
        <v>19669</v>
      </c>
      <c r="R12" s="983">
        <f t="shared" si="7"/>
        <v>94.712765445177453</v>
      </c>
    </row>
    <row r="13" spans="2:18" ht="12" customHeight="1" x14ac:dyDescent="0.2">
      <c r="B13" s="172">
        <f t="shared" si="8"/>
        <v>8</v>
      </c>
      <c r="C13" s="142"/>
      <c r="D13" s="143"/>
      <c r="E13" s="130"/>
      <c r="F13" s="130">
        <v>633</v>
      </c>
      <c r="G13" s="193" t="s">
        <v>247</v>
      </c>
      <c r="H13" s="570">
        <f>23750-1100</f>
        <v>22650</v>
      </c>
      <c r="I13" s="570">
        <v>22282</v>
      </c>
      <c r="J13" s="966">
        <f t="shared" si="5"/>
        <v>98.375275938189844</v>
      </c>
      <c r="K13" s="145"/>
      <c r="L13" s="394"/>
      <c r="M13" s="394"/>
      <c r="N13" s="1085"/>
      <c r="O13" s="145"/>
      <c r="P13" s="168">
        <f t="shared" si="2"/>
        <v>22650</v>
      </c>
      <c r="Q13" s="168">
        <f t="shared" si="3"/>
        <v>22282</v>
      </c>
      <c r="R13" s="983">
        <f t="shared" si="7"/>
        <v>98.375275938189844</v>
      </c>
    </row>
    <row r="14" spans="2:18" ht="12" customHeight="1" x14ac:dyDescent="0.2">
      <c r="B14" s="172">
        <f t="shared" si="8"/>
        <v>9</v>
      </c>
      <c r="C14" s="142"/>
      <c r="D14" s="143"/>
      <c r="E14" s="130"/>
      <c r="F14" s="130">
        <v>635</v>
      </c>
      <c r="G14" s="193" t="s">
        <v>261</v>
      </c>
      <c r="H14" s="570">
        <f>3310-300</f>
        <v>3010</v>
      </c>
      <c r="I14" s="570">
        <v>2878</v>
      </c>
      <c r="J14" s="966">
        <f t="shared" si="5"/>
        <v>95.614617940199338</v>
      </c>
      <c r="K14" s="145"/>
      <c r="L14" s="394"/>
      <c r="M14" s="394"/>
      <c r="N14" s="1085"/>
      <c r="O14" s="145"/>
      <c r="P14" s="168">
        <f t="shared" si="2"/>
        <v>3010</v>
      </c>
      <c r="Q14" s="168">
        <f t="shared" si="3"/>
        <v>2878</v>
      </c>
      <c r="R14" s="983">
        <f t="shared" si="7"/>
        <v>95.614617940199338</v>
      </c>
    </row>
    <row r="15" spans="2:18" ht="12" customHeight="1" x14ac:dyDescent="0.2">
      <c r="B15" s="172">
        <f t="shared" si="8"/>
        <v>10</v>
      </c>
      <c r="C15" s="142"/>
      <c r="D15" s="143"/>
      <c r="E15" s="130"/>
      <c r="F15" s="130">
        <v>637</v>
      </c>
      <c r="G15" s="193" t="s">
        <v>248</v>
      </c>
      <c r="H15" s="570">
        <f>4515-540</f>
        <v>3975</v>
      </c>
      <c r="I15" s="570">
        <v>3774</v>
      </c>
      <c r="J15" s="966">
        <f t="shared" si="5"/>
        <v>94.943396226415089</v>
      </c>
      <c r="K15" s="145"/>
      <c r="L15" s="394"/>
      <c r="M15" s="394"/>
      <c r="N15" s="1085"/>
      <c r="O15" s="145"/>
      <c r="P15" s="168">
        <f t="shared" si="2"/>
        <v>3975</v>
      </c>
      <c r="Q15" s="168">
        <f t="shared" si="3"/>
        <v>3774</v>
      </c>
      <c r="R15" s="983">
        <f t="shared" si="7"/>
        <v>94.943396226415089</v>
      </c>
    </row>
    <row r="16" spans="2:18" x14ac:dyDescent="0.2">
      <c r="B16" s="172">
        <f t="shared" si="8"/>
        <v>11</v>
      </c>
      <c r="C16" s="142"/>
      <c r="D16" s="143"/>
      <c r="E16" s="143"/>
      <c r="F16" s="149">
        <v>640</v>
      </c>
      <c r="G16" s="201" t="s">
        <v>297</v>
      </c>
      <c r="H16" s="387">
        <f>300-247+53</f>
        <v>106</v>
      </c>
      <c r="I16" s="387">
        <v>106</v>
      </c>
      <c r="J16" s="965">
        <f t="shared" si="5"/>
        <v>100</v>
      </c>
      <c r="K16" s="245"/>
      <c r="L16" s="144"/>
      <c r="M16" s="144"/>
      <c r="N16" s="1087"/>
      <c r="O16" s="245"/>
      <c r="P16" s="575">
        <f t="shared" si="2"/>
        <v>106</v>
      </c>
      <c r="Q16" s="575">
        <f t="shared" si="3"/>
        <v>106</v>
      </c>
      <c r="R16" s="1001">
        <f t="shared" si="7"/>
        <v>100</v>
      </c>
    </row>
    <row r="17" spans="2:18" ht="15.75" x14ac:dyDescent="0.25">
      <c r="B17" s="172">
        <f t="shared" si="8"/>
        <v>12</v>
      </c>
      <c r="C17" s="21">
        <v>2</v>
      </c>
      <c r="D17" s="122" t="s">
        <v>229</v>
      </c>
      <c r="E17" s="22"/>
      <c r="F17" s="22"/>
      <c r="G17" s="194"/>
      <c r="H17" s="413">
        <f>H18</f>
        <v>1000</v>
      </c>
      <c r="I17" s="413">
        <f t="shared" ref="I17" si="11">I18</f>
        <v>536</v>
      </c>
      <c r="J17" s="972">
        <f t="shared" si="5"/>
        <v>53.6</v>
      </c>
      <c r="K17" s="246"/>
      <c r="L17" s="461">
        <v>0</v>
      </c>
      <c r="M17" s="461">
        <v>0</v>
      </c>
      <c r="N17" s="1084"/>
      <c r="O17" s="246"/>
      <c r="P17" s="373">
        <f t="shared" si="2"/>
        <v>1000</v>
      </c>
      <c r="Q17" s="373">
        <f t="shared" si="3"/>
        <v>536</v>
      </c>
      <c r="R17" s="984">
        <f t="shared" si="7"/>
        <v>53.6</v>
      </c>
    </row>
    <row r="18" spans="2:18" x14ac:dyDescent="0.2">
      <c r="B18" s="172">
        <f t="shared" si="8"/>
        <v>13</v>
      </c>
      <c r="C18" s="126"/>
      <c r="D18" s="126"/>
      <c r="E18" s="130" t="s">
        <v>671</v>
      </c>
      <c r="F18" s="130">
        <v>640</v>
      </c>
      <c r="G18" s="193" t="s">
        <v>283</v>
      </c>
      <c r="H18" s="570">
        <v>1000</v>
      </c>
      <c r="I18" s="570">
        <v>536</v>
      </c>
      <c r="J18" s="966">
        <f t="shared" si="5"/>
        <v>53.6</v>
      </c>
      <c r="K18" s="182"/>
      <c r="L18" s="139"/>
      <c r="M18" s="139"/>
      <c r="N18" s="1086"/>
      <c r="O18" s="182"/>
      <c r="P18" s="169">
        <f t="shared" si="2"/>
        <v>1000</v>
      </c>
      <c r="Q18" s="169">
        <f t="shared" si="3"/>
        <v>536</v>
      </c>
      <c r="R18" s="986">
        <f t="shared" si="7"/>
        <v>53.6</v>
      </c>
    </row>
    <row r="19" spans="2:18" ht="15.75" x14ac:dyDescent="0.25">
      <c r="B19" s="172">
        <f t="shared" si="8"/>
        <v>14</v>
      </c>
      <c r="C19" s="23">
        <v>3</v>
      </c>
      <c r="D19" s="123" t="s">
        <v>2</v>
      </c>
      <c r="E19" s="24"/>
      <c r="F19" s="24"/>
      <c r="G19" s="192"/>
      <c r="H19" s="419">
        <f>H20+H21+H22+H23+H31+H32</f>
        <v>21965</v>
      </c>
      <c r="I19" s="419">
        <f t="shared" ref="I19" si="12">I20+I21+I22+I23+I31+I32</f>
        <v>21965</v>
      </c>
      <c r="J19" s="971">
        <f t="shared" si="5"/>
        <v>100</v>
      </c>
      <c r="K19" s="247"/>
      <c r="L19" s="461">
        <v>0</v>
      </c>
      <c r="M19" s="461">
        <v>0</v>
      </c>
      <c r="N19" s="1084"/>
      <c r="O19" s="247"/>
      <c r="P19" s="373">
        <f t="shared" si="2"/>
        <v>21965</v>
      </c>
      <c r="Q19" s="373">
        <f t="shared" si="3"/>
        <v>21965</v>
      </c>
      <c r="R19" s="984">
        <f t="shared" si="7"/>
        <v>100</v>
      </c>
    </row>
    <row r="20" spans="2:18" x14ac:dyDescent="0.2">
      <c r="B20" s="172">
        <f t="shared" si="8"/>
        <v>15</v>
      </c>
      <c r="C20" s="126"/>
      <c r="D20" s="160"/>
      <c r="E20" s="480" t="s">
        <v>672</v>
      </c>
      <c r="F20" s="158">
        <v>640</v>
      </c>
      <c r="G20" s="193" t="s">
        <v>284</v>
      </c>
      <c r="H20" s="381">
        <v>2000</v>
      </c>
      <c r="I20" s="381">
        <v>2000</v>
      </c>
      <c r="J20" s="978">
        <f t="shared" si="5"/>
        <v>100</v>
      </c>
      <c r="K20" s="128"/>
      <c r="L20" s="159"/>
      <c r="M20" s="159"/>
      <c r="N20" s="1089"/>
      <c r="O20" s="128"/>
      <c r="P20" s="215">
        <f t="shared" si="2"/>
        <v>2000</v>
      </c>
      <c r="Q20" s="215">
        <f t="shared" si="3"/>
        <v>2000</v>
      </c>
      <c r="R20" s="1000">
        <f t="shared" si="7"/>
        <v>100</v>
      </c>
    </row>
    <row r="21" spans="2:18" ht="24" x14ac:dyDescent="0.2">
      <c r="B21" s="172">
        <f t="shared" si="8"/>
        <v>16</v>
      </c>
      <c r="C21" s="126"/>
      <c r="D21" s="160"/>
      <c r="E21" s="480" t="s">
        <v>672</v>
      </c>
      <c r="F21" s="480">
        <v>640</v>
      </c>
      <c r="G21" s="643" t="s">
        <v>610</v>
      </c>
      <c r="H21" s="495">
        <v>898</v>
      </c>
      <c r="I21" s="495">
        <v>898</v>
      </c>
      <c r="J21" s="977">
        <f t="shared" si="5"/>
        <v>100</v>
      </c>
      <c r="K21" s="475"/>
      <c r="L21" s="506"/>
      <c r="M21" s="506"/>
      <c r="N21" s="1090"/>
      <c r="O21" s="475"/>
      <c r="P21" s="507">
        <f t="shared" si="2"/>
        <v>898</v>
      </c>
      <c r="Q21" s="507">
        <f t="shared" si="3"/>
        <v>898</v>
      </c>
      <c r="R21" s="1010">
        <f t="shared" si="7"/>
        <v>100</v>
      </c>
    </row>
    <row r="22" spans="2:18" ht="24" x14ac:dyDescent="0.2">
      <c r="B22" s="172">
        <f t="shared" si="8"/>
        <v>17</v>
      </c>
      <c r="C22" s="126"/>
      <c r="D22" s="160"/>
      <c r="E22" s="480" t="s">
        <v>672</v>
      </c>
      <c r="F22" s="480">
        <v>640</v>
      </c>
      <c r="G22" s="643" t="s">
        <v>611</v>
      </c>
      <c r="H22" s="495">
        <v>1910</v>
      </c>
      <c r="I22" s="495">
        <v>1910</v>
      </c>
      <c r="J22" s="977">
        <f t="shared" si="5"/>
        <v>100</v>
      </c>
      <c r="K22" s="475"/>
      <c r="L22" s="506"/>
      <c r="M22" s="506"/>
      <c r="N22" s="1090"/>
      <c r="O22" s="475"/>
      <c r="P22" s="507">
        <f t="shared" si="2"/>
        <v>1910</v>
      </c>
      <c r="Q22" s="507">
        <f t="shared" si="3"/>
        <v>1910</v>
      </c>
      <c r="R22" s="1010">
        <f t="shared" si="7"/>
        <v>100</v>
      </c>
    </row>
    <row r="23" spans="2:18" ht="24" x14ac:dyDescent="0.2">
      <c r="B23" s="172">
        <f t="shared" si="8"/>
        <v>18</v>
      </c>
      <c r="C23" s="126"/>
      <c r="D23" s="160"/>
      <c r="E23" s="480" t="s">
        <v>672</v>
      </c>
      <c r="F23" s="480">
        <v>640</v>
      </c>
      <c r="G23" s="643" t="s">
        <v>612</v>
      </c>
      <c r="H23" s="381">
        <f>SUM(H24:H30)</f>
        <v>8157</v>
      </c>
      <c r="I23" s="381">
        <f t="shared" ref="I23" si="13">SUM(I24:I30)</f>
        <v>8157</v>
      </c>
      <c r="J23" s="978">
        <f t="shared" si="5"/>
        <v>100</v>
      </c>
      <c r="K23" s="128"/>
      <c r="L23" s="159"/>
      <c r="M23" s="159"/>
      <c r="N23" s="1089"/>
      <c r="O23" s="128"/>
      <c r="P23" s="215">
        <f t="shared" si="2"/>
        <v>8157</v>
      </c>
      <c r="Q23" s="215">
        <f t="shared" si="3"/>
        <v>8157</v>
      </c>
      <c r="R23" s="1000">
        <f t="shared" si="7"/>
        <v>100</v>
      </c>
    </row>
    <row r="24" spans="2:18" x14ac:dyDescent="0.2">
      <c r="B24" s="172">
        <f t="shared" si="8"/>
        <v>19</v>
      </c>
      <c r="C24" s="126"/>
      <c r="D24" s="160"/>
      <c r="E24" s="480"/>
      <c r="F24" s="480"/>
      <c r="G24" s="643" t="s">
        <v>613</v>
      </c>
      <c r="H24" s="381">
        <v>417</v>
      </c>
      <c r="I24" s="381">
        <v>417</v>
      </c>
      <c r="J24" s="978">
        <f t="shared" si="5"/>
        <v>100</v>
      </c>
      <c r="K24" s="128"/>
      <c r="L24" s="159"/>
      <c r="M24" s="159"/>
      <c r="N24" s="1089"/>
      <c r="O24" s="128"/>
      <c r="P24" s="215">
        <f t="shared" si="2"/>
        <v>417</v>
      </c>
      <c r="Q24" s="215">
        <f t="shared" si="3"/>
        <v>417</v>
      </c>
      <c r="R24" s="1000">
        <f t="shared" si="7"/>
        <v>100</v>
      </c>
    </row>
    <row r="25" spans="2:18" x14ac:dyDescent="0.2">
      <c r="B25" s="172">
        <f t="shared" si="8"/>
        <v>20</v>
      </c>
      <c r="C25" s="126"/>
      <c r="D25" s="160"/>
      <c r="E25" s="480"/>
      <c r="F25" s="480"/>
      <c r="G25" s="643" t="s">
        <v>614</v>
      </c>
      <c r="H25" s="381">
        <v>1802</v>
      </c>
      <c r="I25" s="381">
        <v>1802</v>
      </c>
      <c r="J25" s="978">
        <f t="shared" si="5"/>
        <v>100</v>
      </c>
      <c r="K25" s="128"/>
      <c r="L25" s="159"/>
      <c r="M25" s="159"/>
      <c r="N25" s="1089"/>
      <c r="O25" s="128"/>
      <c r="P25" s="215">
        <f t="shared" si="2"/>
        <v>1802</v>
      </c>
      <c r="Q25" s="215">
        <f t="shared" si="3"/>
        <v>1802</v>
      </c>
      <c r="R25" s="1000">
        <f t="shared" si="7"/>
        <v>100</v>
      </c>
    </row>
    <row r="26" spans="2:18" x14ac:dyDescent="0.2">
      <c r="B26" s="172">
        <f t="shared" si="8"/>
        <v>21</v>
      </c>
      <c r="C26" s="126"/>
      <c r="D26" s="160"/>
      <c r="E26" s="480"/>
      <c r="F26" s="480"/>
      <c r="G26" s="643" t="s">
        <v>615</v>
      </c>
      <c r="H26" s="381">
        <v>1350</v>
      </c>
      <c r="I26" s="381">
        <v>1350</v>
      </c>
      <c r="J26" s="978">
        <f t="shared" si="5"/>
        <v>100</v>
      </c>
      <c r="K26" s="128"/>
      <c r="L26" s="159"/>
      <c r="M26" s="159"/>
      <c r="N26" s="1089"/>
      <c r="O26" s="128"/>
      <c r="P26" s="215">
        <f t="shared" si="2"/>
        <v>1350</v>
      </c>
      <c r="Q26" s="215">
        <f t="shared" si="3"/>
        <v>1350</v>
      </c>
      <c r="R26" s="1000">
        <f t="shared" si="7"/>
        <v>100</v>
      </c>
    </row>
    <row r="27" spans="2:18" x14ac:dyDescent="0.2">
      <c r="B27" s="172">
        <f t="shared" si="8"/>
        <v>22</v>
      </c>
      <c r="C27" s="126"/>
      <c r="D27" s="160"/>
      <c r="E27" s="480"/>
      <c r="F27" s="480"/>
      <c r="G27" s="643" t="s">
        <v>616</v>
      </c>
      <c r="H27" s="381">
        <v>366</v>
      </c>
      <c r="I27" s="381">
        <v>366</v>
      </c>
      <c r="J27" s="978">
        <f t="shared" si="5"/>
        <v>100</v>
      </c>
      <c r="K27" s="128"/>
      <c r="L27" s="159"/>
      <c r="M27" s="159"/>
      <c r="N27" s="1089"/>
      <c r="O27" s="128"/>
      <c r="P27" s="215">
        <f t="shared" si="2"/>
        <v>366</v>
      </c>
      <c r="Q27" s="215">
        <f t="shared" si="3"/>
        <v>366</v>
      </c>
      <c r="R27" s="1000">
        <f t="shared" si="7"/>
        <v>100</v>
      </c>
    </row>
    <row r="28" spans="2:18" x14ac:dyDescent="0.2">
      <c r="B28" s="172">
        <f t="shared" si="8"/>
        <v>23</v>
      </c>
      <c r="C28" s="126"/>
      <c r="D28" s="160"/>
      <c r="E28" s="480"/>
      <c r="F28" s="480"/>
      <c r="G28" s="643" t="s">
        <v>617</v>
      </c>
      <c r="H28" s="381">
        <v>474</v>
      </c>
      <c r="I28" s="381">
        <v>474</v>
      </c>
      <c r="J28" s="978">
        <f t="shared" si="5"/>
        <v>100</v>
      </c>
      <c r="K28" s="128"/>
      <c r="L28" s="159"/>
      <c r="M28" s="159"/>
      <c r="N28" s="1089"/>
      <c r="O28" s="128"/>
      <c r="P28" s="215">
        <f t="shared" si="2"/>
        <v>474</v>
      </c>
      <c r="Q28" s="215">
        <f t="shared" si="3"/>
        <v>474</v>
      </c>
      <c r="R28" s="1000">
        <f t="shared" si="7"/>
        <v>100</v>
      </c>
    </row>
    <row r="29" spans="2:18" x14ac:dyDescent="0.2">
      <c r="B29" s="172">
        <f t="shared" si="8"/>
        <v>24</v>
      </c>
      <c r="C29" s="126"/>
      <c r="D29" s="160"/>
      <c r="E29" s="480"/>
      <c r="F29" s="480"/>
      <c r="G29" s="643" t="s">
        <v>618</v>
      </c>
      <c r="H29" s="381">
        <v>1070</v>
      </c>
      <c r="I29" s="381">
        <v>1070</v>
      </c>
      <c r="J29" s="978">
        <f t="shared" si="5"/>
        <v>100</v>
      </c>
      <c r="K29" s="128"/>
      <c r="L29" s="159"/>
      <c r="M29" s="159"/>
      <c r="N29" s="1089"/>
      <c r="O29" s="128"/>
      <c r="P29" s="215">
        <f t="shared" si="2"/>
        <v>1070</v>
      </c>
      <c r="Q29" s="215">
        <f t="shared" si="3"/>
        <v>1070</v>
      </c>
      <c r="R29" s="1000">
        <f t="shared" si="7"/>
        <v>100</v>
      </c>
    </row>
    <row r="30" spans="2:18" x14ac:dyDescent="0.2">
      <c r="B30" s="172">
        <f t="shared" si="8"/>
        <v>25</v>
      </c>
      <c r="C30" s="126"/>
      <c r="D30" s="160"/>
      <c r="E30" s="480"/>
      <c r="F30" s="480"/>
      <c r="G30" s="643" t="s">
        <v>619</v>
      </c>
      <c r="H30" s="381">
        <v>2678</v>
      </c>
      <c r="I30" s="381">
        <v>2678</v>
      </c>
      <c r="J30" s="978">
        <f t="shared" si="5"/>
        <v>100</v>
      </c>
      <c r="K30" s="128"/>
      <c r="L30" s="159"/>
      <c r="M30" s="159"/>
      <c r="N30" s="1089"/>
      <c r="O30" s="128"/>
      <c r="P30" s="215">
        <f t="shared" si="2"/>
        <v>2678</v>
      </c>
      <c r="Q30" s="215">
        <f t="shared" si="3"/>
        <v>2678</v>
      </c>
      <c r="R30" s="1000">
        <f t="shared" si="7"/>
        <v>100</v>
      </c>
    </row>
    <row r="31" spans="2:18" ht="33.75" x14ac:dyDescent="0.2">
      <c r="B31" s="172">
        <f t="shared" si="8"/>
        <v>26</v>
      </c>
      <c r="C31" s="126"/>
      <c r="D31" s="160"/>
      <c r="E31" s="480" t="s">
        <v>672</v>
      </c>
      <c r="F31" s="480">
        <v>640</v>
      </c>
      <c r="G31" s="593" t="s">
        <v>628</v>
      </c>
      <c r="H31" s="495">
        <v>2000</v>
      </c>
      <c r="I31" s="495">
        <v>2000</v>
      </c>
      <c r="J31" s="977">
        <f t="shared" si="5"/>
        <v>100</v>
      </c>
      <c r="K31" s="128"/>
      <c r="L31" s="159"/>
      <c r="M31" s="159"/>
      <c r="N31" s="1089"/>
      <c r="O31" s="128"/>
      <c r="P31" s="592">
        <f t="shared" si="2"/>
        <v>2000</v>
      </c>
      <c r="Q31" s="592">
        <f t="shared" si="3"/>
        <v>2000</v>
      </c>
      <c r="R31" s="1021">
        <f t="shared" si="7"/>
        <v>100</v>
      </c>
    </row>
    <row r="32" spans="2:18" ht="33.75" x14ac:dyDescent="0.2">
      <c r="B32" s="172">
        <f t="shared" si="8"/>
        <v>27</v>
      </c>
      <c r="C32" s="126"/>
      <c r="D32" s="160"/>
      <c r="E32" s="480" t="s">
        <v>672</v>
      </c>
      <c r="F32" s="480">
        <v>640</v>
      </c>
      <c r="G32" s="593" t="s">
        <v>865</v>
      </c>
      <c r="H32" s="495">
        <v>7000</v>
      </c>
      <c r="I32" s="495">
        <v>7000</v>
      </c>
      <c r="J32" s="977">
        <f t="shared" si="5"/>
        <v>100</v>
      </c>
      <c r="K32" s="128"/>
      <c r="L32" s="159"/>
      <c r="M32" s="159"/>
      <c r="N32" s="1089"/>
      <c r="O32" s="128"/>
      <c r="P32" s="592">
        <f t="shared" si="2"/>
        <v>7000</v>
      </c>
      <c r="Q32" s="592">
        <f t="shared" si="3"/>
        <v>7000</v>
      </c>
      <c r="R32" s="1021">
        <f t="shared" si="7"/>
        <v>100</v>
      </c>
    </row>
    <row r="33" spans="2:18" ht="15.75" x14ac:dyDescent="0.25">
      <c r="B33" s="172">
        <f t="shared" si="8"/>
        <v>28</v>
      </c>
      <c r="C33" s="23">
        <v>4</v>
      </c>
      <c r="D33" s="123" t="s">
        <v>320</v>
      </c>
      <c r="E33" s="24"/>
      <c r="F33" s="24"/>
      <c r="G33" s="192"/>
      <c r="H33" s="416">
        <f>H34</f>
        <v>22783</v>
      </c>
      <c r="I33" s="416">
        <f t="shared" ref="I33" si="14">I34</f>
        <v>21884</v>
      </c>
      <c r="J33" s="971">
        <f t="shared" si="5"/>
        <v>96.054075407101791</v>
      </c>
      <c r="K33" s="86"/>
      <c r="L33" s="462">
        <v>0</v>
      </c>
      <c r="M33" s="462">
        <v>0</v>
      </c>
      <c r="N33" s="1093"/>
      <c r="O33" s="86"/>
      <c r="P33" s="372">
        <f t="shared" si="2"/>
        <v>22783</v>
      </c>
      <c r="Q33" s="372">
        <f t="shared" si="3"/>
        <v>21884</v>
      </c>
      <c r="R33" s="981">
        <f t="shared" si="7"/>
        <v>96.054075407101791</v>
      </c>
    </row>
    <row r="34" spans="2:18" ht="12" customHeight="1" x14ac:dyDescent="0.2">
      <c r="B34" s="172">
        <f t="shared" si="8"/>
        <v>29</v>
      </c>
      <c r="C34" s="131"/>
      <c r="D34" s="131"/>
      <c r="E34" s="356" t="s">
        <v>671</v>
      </c>
      <c r="F34" s="356"/>
      <c r="G34" s="357" t="s">
        <v>452</v>
      </c>
      <c r="H34" s="405">
        <f>H35+H36+H37</f>
        <v>22783</v>
      </c>
      <c r="I34" s="405">
        <f t="shared" ref="I34" si="15">I35+I36+I37</f>
        <v>21884</v>
      </c>
      <c r="J34" s="965">
        <f t="shared" si="5"/>
        <v>96.054075407101791</v>
      </c>
      <c r="K34" s="360"/>
      <c r="L34" s="463"/>
      <c r="M34" s="463"/>
      <c r="N34" s="1086"/>
      <c r="O34" s="360"/>
      <c r="P34" s="361">
        <f t="shared" si="2"/>
        <v>22783</v>
      </c>
      <c r="Q34" s="361">
        <f t="shared" si="3"/>
        <v>21884</v>
      </c>
      <c r="R34" s="1001">
        <f t="shared" si="7"/>
        <v>96.054075407101791</v>
      </c>
    </row>
    <row r="35" spans="2:18" ht="12" customHeight="1" x14ac:dyDescent="0.2">
      <c r="B35" s="172">
        <f t="shared" si="8"/>
        <v>30</v>
      </c>
      <c r="C35" s="126"/>
      <c r="D35" s="126"/>
      <c r="E35" s="149"/>
      <c r="F35" s="149">
        <v>610</v>
      </c>
      <c r="G35" s="201" t="s">
        <v>257</v>
      </c>
      <c r="H35" s="387">
        <f>11031+450</f>
        <v>11481</v>
      </c>
      <c r="I35" s="387">
        <v>11267</v>
      </c>
      <c r="J35" s="965">
        <f t="shared" si="5"/>
        <v>98.136050866649242</v>
      </c>
      <c r="K35" s="128"/>
      <c r="L35" s="139"/>
      <c r="M35" s="139"/>
      <c r="N35" s="1086"/>
      <c r="O35" s="128"/>
      <c r="P35" s="575">
        <f t="shared" si="2"/>
        <v>11481</v>
      </c>
      <c r="Q35" s="575">
        <f t="shared" si="3"/>
        <v>11267</v>
      </c>
      <c r="R35" s="1001">
        <f t="shared" si="7"/>
        <v>98.136050866649242</v>
      </c>
    </row>
    <row r="36" spans="2:18" ht="12" customHeight="1" x14ac:dyDescent="0.2">
      <c r="B36" s="172">
        <f t="shared" si="8"/>
        <v>31</v>
      </c>
      <c r="C36" s="126"/>
      <c r="D36" s="126"/>
      <c r="E36" s="130"/>
      <c r="F36" s="149">
        <v>620</v>
      </c>
      <c r="G36" s="201" t="s">
        <v>259</v>
      </c>
      <c r="H36" s="387">
        <v>3861</v>
      </c>
      <c r="I36" s="387">
        <v>3791</v>
      </c>
      <c r="J36" s="965">
        <f t="shared" si="5"/>
        <v>98.186998186998181</v>
      </c>
      <c r="K36" s="128"/>
      <c r="L36" s="139"/>
      <c r="M36" s="139"/>
      <c r="N36" s="1086"/>
      <c r="O36" s="128"/>
      <c r="P36" s="575">
        <f t="shared" si="2"/>
        <v>3861</v>
      </c>
      <c r="Q36" s="575">
        <f t="shared" si="3"/>
        <v>3791</v>
      </c>
      <c r="R36" s="1001">
        <f t="shared" si="7"/>
        <v>98.186998186998181</v>
      </c>
    </row>
    <row r="37" spans="2:18" ht="12" customHeight="1" x14ac:dyDescent="0.2">
      <c r="B37" s="172">
        <f t="shared" si="8"/>
        <v>32</v>
      </c>
      <c r="C37" s="126"/>
      <c r="D37" s="126"/>
      <c r="E37" s="130"/>
      <c r="F37" s="149">
        <v>630</v>
      </c>
      <c r="G37" s="201" t="s">
        <v>341</v>
      </c>
      <c r="H37" s="387">
        <f>SUM(H38:H41)</f>
        <v>7441</v>
      </c>
      <c r="I37" s="387">
        <f t="shared" ref="I37" si="16">SUM(I38:I41)</f>
        <v>6826</v>
      </c>
      <c r="J37" s="965">
        <f t="shared" si="5"/>
        <v>91.734981857277248</v>
      </c>
      <c r="K37" s="128"/>
      <c r="L37" s="139"/>
      <c r="M37" s="139"/>
      <c r="N37" s="1086"/>
      <c r="O37" s="128"/>
      <c r="P37" s="575">
        <f t="shared" si="2"/>
        <v>7441</v>
      </c>
      <c r="Q37" s="575">
        <f t="shared" si="3"/>
        <v>6826</v>
      </c>
      <c r="R37" s="1001">
        <f t="shared" si="7"/>
        <v>91.734981857277248</v>
      </c>
    </row>
    <row r="38" spans="2:18" ht="12" customHeight="1" x14ac:dyDescent="0.2">
      <c r="B38" s="172">
        <f t="shared" si="8"/>
        <v>33</v>
      </c>
      <c r="C38" s="126"/>
      <c r="D38" s="126"/>
      <c r="E38" s="130"/>
      <c r="F38" s="130">
        <v>632</v>
      </c>
      <c r="G38" s="193" t="s">
        <v>246</v>
      </c>
      <c r="H38" s="570">
        <f>5113+140</f>
        <v>5253</v>
      </c>
      <c r="I38" s="570">
        <v>5022</v>
      </c>
      <c r="J38" s="966">
        <f t="shared" si="5"/>
        <v>95.602512849800121</v>
      </c>
      <c r="K38" s="128"/>
      <c r="L38" s="139"/>
      <c r="M38" s="139"/>
      <c r="N38" s="1086"/>
      <c r="O38" s="128"/>
      <c r="P38" s="169">
        <f t="shared" si="2"/>
        <v>5253</v>
      </c>
      <c r="Q38" s="169">
        <f t="shared" si="3"/>
        <v>5022</v>
      </c>
      <c r="R38" s="986">
        <f t="shared" si="7"/>
        <v>95.602512849800121</v>
      </c>
    </row>
    <row r="39" spans="2:18" ht="12" customHeight="1" x14ac:dyDescent="0.2">
      <c r="B39" s="172">
        <f t="shared" si="8"/>
        <v>34</v>
      </c>
      <c r="C39" s="126"/>
      <c r="D39" s="126"/>
      <c r="E39" s="130"/>
      <c r="F39" s="130">
        <v>633</v>
      </c>
      <c r="G39" s="193" t="s">
        <v>247</v>
      </c>
      <c r="H39" s="570">
        <f>100-40</f>
        <v>60</v>
      </c>
      <c r="I39" s="570">
        <v>60</v>
      </c>
      <c r="J39" s="966">
        <f t="shared" si="5"/>
        <v>100</v>
      </c>
      <c r="K39" s="128"/>
      <c r="L39" s="139"/>
      <c r="M39" s="139"/>
      <c r="N39" s="1086"/>
      <c r="O39" s="128"/>
      <c r="P39" s="169">
        <f t="shared" si="2"/>
        <v>60</v>
      </c>
      <c r="Q39" s="169">
        <f t="shared" si="3"/>
        <v>60</v>
      </c>
      <c r="R39" s="986">
        <f t="shared" si="7"/>
        <v>100</v>
      </c>
    </row>
    <row r="40" spans="2:18" ht="12" customHeight="1" x14ac:dyDescent="0.2">
      <c r="B40" s="172">
        <f t="shared" si="8"/>
        <v>35</v>
      </c>
      <c r="C40" s="126"/>
      <c r="D40" s="126"/>
      <c r="E40" s="130"/>
      <c r="F40" s="130">
        <v>635</v>
      </c>
      <c r="G40" s="193" t="s">
        <v>261</v>
      </c>
      <c r="H40" s="570">
        <f>500-350</f>
        <v>150</v>
      </c>
      <c r="I40" s="570">
        <v>128</v>
      </c>
      <c r="J40" s="966">
        <f t="shared" si="5"/>
        <v>85.333333333333343</v>
      </c>
      <c r="K40" s="128"/>
      <c r="L40" s="139"/>
      <c r="M40" s="139"/>
      <c r="N40" s="1086"/>
      <c r="O40" s="128"/>
      <c r="P40" s="169">
        <f t="shared" si="2"/>
        <v>150</v>
      </c>
      <c r="Q40" s="169">
        <f t="shared" si="3"/>
        <v>128</v>
      </c>
      <c r="R40" s="986">
        <f t="shared" si="7"/>
        <v>85.333333333333343</v>
      </c>
    </row>
    <row r="41" spans="2:18" x14ac:dyDescent="0.2">
      <c r="B41" s="172">
        <f t="shared" si="8"/>
        <v>36</v>
      </c>
      <c r="C41" s="126"/>
      <c r="D41" s="126"/>
      <c r="E41" s="130"/>
      <c r="F41" s="130">
        <v>637</v>
      </c>
      <c r="G41" s="193" t="s">
        <v>321</v>
      </c>
      <c r="H41" s="570">
        <f>1853+125</f>
        <v>1978</v>
      </c>
      <c r="I41" s="570">
        <v>1616</v>
      </c>
      <c r="J41" s="966">
        <f t="shared" si="5"/>
        <v>81.69868554095045</v>
      </c>
      <c r="K41" s="128"/>
      <c r="L41" s="139"/>
      <c r="M41" s="139"/>
      <c r="N41" s="1086"/>
      <c r="O41" s="128"/>
      <c r="P41" s="169">
        <f t="shared" si="2"/>
        <v>1978</v>
      </c>
      <c r="Q41" s="169">
        <f t="shared" si="3"/>
        <v>1616</v>
      </c>
      <c r="R41" s="986">
        <f t="shared" si="7"/>
        <v>81.69868554095045</v>
      </c>
    </row>
    <row r="42" spans="2:18" ht="15.75" x14ac:dyDescent="0.25">
      <c r="B42" s="172">
        <f t="shared" si="8"/>
        <v>37</v>
      </c>
      <c r="C42" s="23">
        <v>5</v>
      </c>
      <c r="D42" s="123" t="s">
        <v>145</v>
      </c>
      <c r="E42" s="24"/>
      <c r="F42" s="24"/>
      <c r="G42" s="192"/>
      <c r="H42" s="416">
        <f>H43+H61+H75</f>
        <v>444053</v>
      </c>
      <c r="I42" s="416">
        <f t="shared" ref="I42" si="17">I43+I61+I75</f>
        <v>431892</v>
      </c>
      <c r="J42" s="971">
        <f t="shared" si="5"/>
        <v>97.261362945414177</v>
      </c>
      <c r="K42" s="86"/>
      <c r="L42" s="462">
        <v>0</v>
      </c>
      <c r="M42" s="462">
        <v>0</v>
      </c>
      <c r="N42" s="1093"/>
      <c r="O42" s="86"/>
      <c r="P42" s="372">
        <f t="shared" si="2"/>
        <v>444053</v>
      </c>
      <c r="Q42" s="372">
        <f t="shared" si="3"/>
        <v>431892</v>
      </c>
      <c r="R42" s="981">
        <f t="shared" si="7"/>
        <v>97.261362945414177</v>
      </c>
    </row>
    <row r="43" spans="2:18" ht="12" customHeight="1" x14ac:dyDescent="0.2">
      <c r="B43" s="172">
        <f t="shared" si="8"/>
        <v>38</v>
      </c>
      <c r="C43" s="74"/>
      <c r="D43" s="178" t="s">
        <v>4</v>
      </c>
      <c r="E43" s="556" t="s">
        <v>673</v>
      </c>
      <c r="F43" s="232" t="s">
        <v>457</v>
      </c>
      <c r="G43" s="233"/>
      <c r="H43" s="386">
        <f>H44+H58+H59+H60+H54+H55+H56</f>
        <v>8135</v>
      </c>
      <c r="I43" s="386">
        <f t="shared" ref="I43" si="18">I44+I58+I59+I60+I54+I55+I56</f>
        <v>7693</v>
      </c>
      <c r="J43" s="965">
        <f t="shared" si="5"/>
        <v>94.566687154271662</v>
      </c>
      <c r="K43" s="20"/>
      <c r="L43" s="458"/>
      <c r="M43" s="458"/>
      <c r="N43" s="1091"/>
      <c r="O43" s="20"/>
      <c r="P43" s="234">
        <f t="shared" si="2"/>
        <v>8135</v>
      </c>
      <c r="Q43" s="234">
        <f t="shared" si="3"/>
        <v>7693</v>
      </c>
      <c r="R43" s="983">
        <f t="shared" si="7"/>
        <v>94.566687154271662</v>
      </c>
    </row>
    <row r="44" spans="2:18" ht="12" customHeight="1" x14ac:dyDescent="0.2">
      <c r="B44" s="172">
        <f t="shared" si="8"/>
        <v>39</v>
      </c>
      <c r="C44" s="126"/>
      <c r="D44" s="126"/>
      <c r="E44" s="130"/>
      <c r="F44" s="149">
        <v>630</v>
      </c>
      <c r="G44" s="201" t="s">
        <v>236</v>
      </c>
      <c r="H44" s="539">
        <f>SUM(H45:H52)</f>
        <v>5035</v>
      </c>
      <c r="I44" s="539">
        <f t="shared" ref="I44" si="19">SUM(I45:I52)</f>
        <v>5035</v>
      </c>
      <c r="J44" s="965">
        <f t="shared" si="5"/>
        <v>100</v>
      </c>
      <c r="K44" s="128"/>
      <c r="L44" s="139"/>
      <c r="M44" s="139"/>
      <c r="N44" s="1086"/>
      <c r="O44" s="128"/>
      <c r="P44" s="273">
        <f t="shared" si="2"/>
        <v>5035</v>
      </c>
      <c r="Q44" s="273">
        <f t="shared" si="3"/>
        <v>5035</v>
      </c>
      <c r="R44" s="1001">
        <f t="shared" si="7"/>
        <v>100</v>
      </c>
    </row>
    <row r="45" spans="2:18" ht="12" customHeight="1" x14ac:dyDescent="0.2">
      <c r="B45" s="172">
        <f t="shared" si="8"/>
        <v>40</v>
      </c>
      <c r="C45" s="126"/>
      <c r="D45" s="126"/>
      <c r="E45" s="162" t="s">
        <v>673</v>
      </c>
      <c r="F45" s="568">
        <v>630</v>
      </c>
      <c r="G45" s="193" t="s">
        <v>620</v>
      </c>
      <c r="H45" s="570">
        <v>496</v>
      </c>
      <c r="I45" s="570">
        <v>496</v>
      </c>
      <c r="J45" s="966">
        <f t="shared" si="5"/>
        <v>100</v>
      </c>
      <c r="K45" s="128"/>
      <c r="L45" s="141"/>
      <c r="M45" s="141"/>
      <c r="N45" s="1091"/>
      <c r="O45" s="128"/>
      <c r="P45" s="168">
        <f t="shared" si="2"/>
        <v>496</v>
      </c>
      <c r="Q45" s="168">
        <f t="shared" si="3"/>
        <v>496</v>
      </c>
      <c r="R45" s="983">
        <f t="shared" si="7"/>
        <v>100</v>
      </c>
    </row>
    <row r="46" spans="2:18" ht="12" customHeight="1" x14ac:dyDescent="0.2">
      <c r="B46" s="172">
        <f t="shared" si="8"/>
        <v>41</v>
      </c>
      <c r="C46" s="126"/>
      <c r="D46" s="126"/>
      <c r="E46" s="162" t="s">
        <v>673</v>
      </c>
      <c r="F46" s="568">
        <v>630</v>
      </c>
      <c r="G46" s="643" t="s">
        <v>621</v>
      </c>
      <c r="H46" s="570">
        <v>467</v>
      </c>
      <c r="I46" s="570">
        <v>467</v>
      </c>
      <c r="J46" s="966">
        <f t="shared" si="5"/>
        <v>100</v>
      </c>
      <c r="K46" s="128"/>
      <c r="L46" s="141"/>
      <c r="M46" s="141"/>
      <c r="N46" s="1091"/>
      <c r="O46" s="128"/>
      <c r="P46" s="168">
        <f t="shared" si="2"/>
        <v>467</v>
      </c>
      <c r="Q46" s="168">
        <f t="shared" si="3"/>
        <v>467</v>
      </c>
      <c r="R46" s="983">
        <f t="shared" si="7"/>
        <v>100</v>
      </c>
    </row>
    <row r="47" spans="2:18" ht="12" customHeight="1" x14ac:dyDescent="0.2">
      <c r="B47" s="172">
        <f t="shared" si="8"/>
        <v>42</v>
      </c>
      <c r="C47" s="126"/>
      <c r="D47" s="126"/>
      <c r="E47" s="162" t="s">
        <v>673</v>
      </c>
      <c r="F47" s="568">
        <v>630</v>
      </c>
      <c r="G47" s="643" t="s">
        <v>622</v>
      </c>
      <c r="H47" s="570">
        <v>711</v>
      </c>
      <c r="I47" s="570">
        <v>711</v>
      </c>
      <c r="J47" s="966">
        <f t="shared" si="5"/>
        <v>100</v>
      </c>
      <c r="K47" s="128"/>
      <c r="L47" s="141"/>
      <c r="M47" s="141"/>
      <c r="N47" s="1091"/>
      <c r="O47" s="128"/>
      <c r="P47" s="168">
        <f t="shared" si="2"/>
        <v>711</v>
      </c>
      <c r="Q47" s="168">
        <f t="shared" si="3"/>
        <v>711</v>
      </c>
      <c r="R47" s="983">
        <f t="shared" si="7"/>
        <v>100</v>
      </c>
    </row>
    <row r="48" spans="2:18" ht="12" customHeight="1" x14ac:dyDescent="0.2">
      <c r="B48" s="172">
        <f t="shared" si="8"/>
        <v>43</v>
      </c>
      <c r="C48" s="126"/>
      <c r="D48" s="126"/>
      <c r="E48" s="162" t="s">
        <v>673</v>
      </c>
      <c r="F48" s="568">
        <v>630</v>
      </c>
      <c r="G48" s="643" t="s">
        <v>623</v>
      </c>
      <c r="H48" s="570">
        <v>632</v>
      </c>
      <c r="I48" s="570">
        <v>632</v>
      </c>
      <c r="J48" s="966">
        <f t="shared" si="5"/>
        <v>100</v>
      </c>
      <c r="K48" s="128"/>
      <c r="L48" s="141"/>
      <c r="M48" s="141"/>
      <c r="N48" s="1091"/>
      <c r="O48" s="128"/>
      <c r="P48" s="168">
        <f t="shared" si="2"/>
        <v>632</v>
      </c>
      <c r="Q48" s="168">
        <f t="shared" si="3"/>
        <v>632</v>
      </c>
      <c r="R48" s="983">
        <f t="shared" si="7"/>
        <v>100</v>
      </c>
    </row>
    <row r="49" spans="2:18" ht="12" customHeight="1" x14ac:dyDescent="0.2">
      <c r="B49" s="172">
        <f t="shared" si="8"/>
        <v>44</v>
      </c>
      <c r="C49" s="126"/>
      <c r="D49" s="126"/>
      <c r="E49" s="162" t="s">
        <v>673</v>
      </c>
      <c r="F49" s="568">
        <v>630</v>
      </c>
      <c r="G49" s="643" t="s">
        <v>624</v>
      </c>
      <c r="H49" s="570">
        <v>524</v>
      </c>
      <c r="I49" s="570">
        <v>524</v>
      </c>
      <c r="J49" s="966">
        <f t="shared" si="5"/>
        <v>100</v>
      </c>
      <c r="K49" s="128"/>
      <c r="L49" s="141"/>
      <c r="M49" s="141"/>
      <c r="N49" s="1091"/>
      <c r="O49" s="128"/>
      <c r="P49" s="168">
        <f t="shared" si="2"/>
        <v>524</v>
      </c>
      <c r="Q49" s="168">
        <f t="shared" si="3"/>
        <v>524</v>
      </c>
      <c r="R49" s="983">
        <f t="shared" si="7"/>
        <v>100</v>
      </c>
    </row>
    <row r="50" spans="2:18" ht="12" customHeight="1" x14ac:dyDescent="0.2">
      <c r="B50" s="172">
        <f t="shared" si="8"/>
        <v>45</v>
      </c>
      <c r="C50" s="126"/>
      <c r="D50" s="126"/>
      <c r="E50" s="162" t="s">
        <v>673</v>
      </c>
      <c r="F50" s="568">
        <v>630</v>
      </c>
      <c r="G50" s="643" t="s">
        <v>625</v>
      </c>
      <c r="H50" s="570">
        <v>1099</v>
      </c>
      <c r="I50" s="570">
        <v>1099</v>
      </c>
      <c r="J50" s="966">
        <f t="shared" si="5"/>
        <v>100</v>
      </c>
      <c r="K50" s="128"/>
      <c r="L50" s="141"/>
      <c r="M50" s="141"/>
      <c r="N50" s="1091"/>
      <c r="O50" s="128"/>
      <c r="P50" s="168">
        <f t="shared" si="2"/>
        <v>1099</v>
      </c>
      <c r="Q50" s="168">
        <f t="shared" si="3"/>
        <v>1099</v>
      </c>
      <c r="R50" s="983">
        <f t="shared" si="7"/>
        <v>100</v>
      </c>
    </row>
    <row r="51" spans="2:18" ht="12" customHeight="1" x14ac:dyDescent="0.2">
      <c r="B51" s="172">
        <f t="shared" si="8"/>
        <v>46</v>
      </c>
      <c r="C51" s="126"/>
      <c r="D51" s="126"/>
      <c r="E51" s="162" t="s">
        <v>673</v>
      </c>
      <c r="F51" s="568">
        <v>630</v>
      </c>
      <c r="G51" s="643" t="s">
        <v>626</v>
      </c>
      <c r="H51" s="570">
        <v>675</v>
      </c>
      <c r="I51" s="570">
        <v>675</v>
      </c>
      <c r="J51" s="966">
        <f t="shared" si="5"/>
        <v>100</v>
      </c>
      <c r="K51" s="128"/>
      <c r="L51" s="141"/>
      <c r="M51" s="141"/>
      <c r="N51" s="1091"/>
      <c r="O51" s="128"/>
      <c r="P51" s="168">
        <f t="shared" si="2"/>
        <v>675</v>
      </c>
      <c r="Q51" s="168">
        <f t="shared" si="3"/>
        <v>675</v>
      </c>
      <c r="R51" s="983">
        <f t="shared" si="7"/>
        <v>100</v>
      </c>
    </row>
    <row r="52" spans="2:18" ht="12" customHeight="1" x14ac:dyDescent="0.2">
      <c r="B52" s="172">
        <f t="shared" si="8"/>
        <v>47</v>
      </c>
      <c r="C52" s="126"/>
      <c r="D52" s="126"/>
      <c r="E52" s="162" t="s">
        <v>673</v>
      </c>
      <c r="F52" s="568">
        <v>630</v>
      </c>
      <c r="G52" s="643" t="s">
        <v>627</v>
      </c>
      <c r="H52" s="570">
        <v>431</v>
      </c>
      <c r="I52" s="570">
        <v>431</v>
      </c>
      <c r="J52" s="966">
        <f t="shared" si="5"/>
        <v>100</v>
      </c>
      <c r="K52" s="128"/>
      <c r="L52" s="141"/>
      <c r="M52" s="141"/>
      <c r="N52" s="1091"/>
      <c r="O52" s="128"/>
      <c r="P52" s="168">
        <f t="shared" si="2"/>
        <v>431</v>
      </c>
      <c r="Q52" s="168">
        <f t="shared" si="3"/>
        <v>431</v>
      </c>
      <c r="R52" s="983">
        <f t="shared" si="7"/>
        <v>100</v>
      </c>
    </row>
    <row r="53" spans="2:18" ht="12" customHeight="1" x14ac:dyDescent="0.2">
      <c r="B53" s="172">
        <f t="shared" si="8"/>
        <v>48</v>
      </c>
      <c r="C53" s="126"/>
      <c r="D53" s="126"/>
      <c r="E53" s="162"/>
      <c r="F53" s="568"/>
      <c r="G53" s="643"/>
      <c r="H53" s="570"/>
      <c r="I53" s="570"/>
      <c r="J53" s="966"/>
      <c r="K53" s="128"/>
      <c r="L53" s="141"/>
      <c r="M53" s="141"/>
      <c r="N53" s="1091"/>
      <c r="O53" s="128"/>
      <c r="P53" s="168"/>
      <c r="Q53" s="168"/>
      <c r="R53" s="983"/>
    </row>
    <row r="54" spans="2:18" ht="12" customHeight="1" x14ac:dyDescent="0.2">
      <c r="B54" s="172">
        <f t="shared" si="8"/>
        <v>49</v>
      </c>
      <c r="C54" s="126"/>
      <c r="D54" s="126"/>
      <c r="E54" s="162" t="s">
        <v>670</v>
      </c>
      <c r="F54" s="568">
        <v>640</v>
      </c>
      <c r="G54" s="643" t="s">
        <v>731</v>
      </c>
      <c r="H54" s="570">
        <f>600-230</f>
        <v>370</v>
      </c>
      <c r="I54" s="570">
        <v>370</v>
      </c>
      <c r="J54" s="966">
        <f t="shared" si="5"/>
        <v>100</v>
      </c>
      <c r="K54" s="128"/>
      <c r="L54" s="141"/>
      <c r="M54" s="141"/>
      <c r="N54" s="1091"/>
      <c r="O54" s="128"/>
      <c r="P54" s="168">
        <f t="shared" si="2"/>
        <v>370</v>
      </c>
      <c r="Q54" s="168">
        <f t="shared" ref="Q54:Q56" si="20">I54+M54</f>
        <v>370</v>
      </c>
      <c r="R54" s="983">
        <f t="shared" si="7"/>
        <v>100</v>
      </c>
    </row>
    <row r="55" spans="2:18" ht="12" customHeight="1" x14ac:dyDescent="0.2">
      <c r="B55" s="172">
        <f t="shared" si="8"/>
        <v>50</v>
      </c>
      <c r="C55" s="126"/>
      <c r="D55" s="126"/>
      <c r="E55" s="162" t="s">
        <v>670</v>
      </c>
      <c r="F55" s="568">
        <v>640</v>
      </c>
      <c r="G55" s="643" t="s">
        <v>732</v>
      </c>
      <c r="H55" s="570">
        <v>1500</v>
      </c>
      <c r="I55" s="570">
        <v>1500</v>
      </c>
      <c r="J55" s="966">
        <f t="shared" si="5"/>
        <v>100</v>
      </c>
      <c r="K55" s="128"/>
      <c r="L55" s="141"/>
      <c r="M55" s="141"/>
      <c r="N55" s="1091"/>
      <c r="O55" s="128"/>
      <c r="P55" s="168">
        <f t="shared" si="2"/>
        <v>1500</v>
      </c>
      <c r="Q55" s="168">
        <f t="shared" si="20"/>
        <v>1500</v>
      </c>
      <c r="R55" s="983">
        <f t="shared" si="7"/>
        <v>100</v>
      </c>
    </row>
    <row r="56" spans="2:18" ht="12" customHeight="1" x14ac:dyDescent="0.2">
      <c r="B56" s="172">
        <f t="shared" si="8"/>
        <v>51</v>
      </c>
      <c r="C56" s="126"/>
      <c r="D56" s="126"/>
      <c r="E56" s="162" t="s">
        <v>670</v>
      </c>
      <c r="F56" s="568">
        <v>640</v>
      </c>
      <c r="G56" s="643" t="s">
        <v>834</v>
      </c>
      <c r="H56" s="570">
        <v>230</v>
      </c>
      <c r="I56" s="570">
        <v>230</v>
      </c>
      <c r="J56" s="966">
        <f t="shared" si="5"/>
        <v>100</v>
      </c>
      <c r="K56" s="128"/>
      <c r="L56" s="141"/>
      <c r="M56" s="141"/>
      <c r="N56" s="1091"/>
      <c r="O56" s="128"/>
      <c r="P56" s="168">
        <f t="shared" ref="P56" si="21">H56+L56</f>
        <v>230</v>
      </c>
      <c r="Q56" s="168">
        <f t="shared" si="20"/>
        <v>230</v>
      </c>
      <c r="R56" s="983">
        <f t="shared" si="7"/>
        <v>100</v>
      </c>
    </row>
    <row r="57" spans="2:18" ht="12" customHeight="1" x14ac:dyDescent="0.2">
      <c r="B57" s="172">
        <f t="shared" si="8"/>
        <v>52</v>
      </c>
      <c r="C57" s="126"/>
      <c r="D57" s="126"/>
      <c r="E57" s="162"/>
      <c r="F57" s="568"/>
      <c r="G57" s="643"/>
      <c r="H57" s="570"/>
      <c r="I57" s="570"/>
      <c r="J57" s="966"/>
      <c r="K57" s="128"/>
      <c r="L57" s="141"/>
      <c r="M57" s="141"/>
      <c r="N57" s="1091"/>
      <c r="O57" s="128"/>
      <c r="P57" s="168"/>
      <c r="Q57" s="168"/>
      <c r="R57" s="983"/>
    </row>
    <row r="58" spans="2:18" ht="12" customHeight="1" x14ac:dyDescent="0.2">
      <c r="B58" s="172">
        <f t="shared" si="8"/>
        <v>53</v>
      </c>
      <c r="C58" s="126"/>
      <c r="D58" s="126"/>
      <c r="E58" s="162"/>
      <c r="F58" s="568">
        <v>633</v>
      </c>
      <c r="G58" s="193" t="s">
        <v>582</v>
      </c>
      <c r="H58" s="570">
        <v>150</v>
      </c>
      <c r="I58" s="570">
        <v>120</v>
      </c>
      <c r="J58" s="966">
        <f t="shared" si="5"/>
        <v>80</v>
      </c>
      <c r="K58" s="128"/>
      <c r="L58" s="141"/>
      <c r="M58" s="141"/>
      <c r="N58" s="1091"/>
      <c r="O58" s="128"/>
      <c r="P58" s="168">
        <f t="shared" si="2"/>
        <v>150</v>
      </c>
      <c r="Q58" s="168">
        <f t="shared" ref="Q58:Q72" si="22">I58+M58</f>
        <v>120</v>
      </c>
      <c r="R58" s="983">
        <f t="shared" si="7"/>
        <v>80</v>
      </c>
    </row>
    <row r="59" spans="2:18" ht="12" customHeight="1" x14ac:dyDescent="0.2">
      <c r="B59" s="172">
        <f t="shared" si="8"/>
        <v>54</v>
      </c>
      <c r="C59" s="126"/>
      <c r="D59" s="126"/>
      <c r="E59" s="162"/>
      <c r="F59" s="568">
        <v>634</v>
      </c>
      <c r="G59" s="193" t="s">
        <v>582</v>
      </c>
      <c r="H59" s="570">
        <f>650-250</f>
        <v>400</v>
      </c>
      <c r="I59" s="570">
        <v>215</v>
      </c>
      <c r="J59" s="966">
        <f t="shared" si="5"/>
        <v>53.75</v>
      </c>
      <c r="K59" s="128"/>
      <c r="L59" s="141"/>
      <c r="M59" s="141"/>
      <c r="N59" s="1091"/>
      <c r="O59" s="128"/>
      <c r="P59" s="168">
        <f t="shared" ref="P59:P80" si="23">H59+L59</f>
        <v>400</v>
      </c>
      <c r="Q59" s="168">
        <f t="shared" si="22"/>
        <v>215</v>
      </c>
      <c r="R59" s="983">
        <f t="shared" si="7"/>
        <v>53.75</v>
      </c>
    </row>
    <row r="60" spans="2:18" ht="12" customHeight="1" x14ac:dyDescent="0.2">
      <c r="B60" s="172">
        <f t="shared" si="8"/>
        <v>55</v>
      </c>
      <c r="C60" s="126"/>
      <c r="D60" s="126"/>
      <c r="E60" s="162"/>
      <c r="F60" s="568">
        <v>637</v>
      </c>
      <c r="G60" s="193" t="s">
        <v>582</v>
      </c>
      <c r="H60" s="570">
        <f>200+250</f>
        <v>450</v>
      </c>
      <c r="I60" s="570">
        <v>223</v>
      </c>
      <c r="J60" s="966">
        <f t="shared" si="5"/>
        <v>49.555555555555557</v>
      </c>
      <c r="K60" s="128"/>
      <c r="L60" s="141"/>
      <c r="M60" s="141"/>
      <c r="N60" s="1091"/>
      <c r="O60" s="128"/>
      <c r="P60" s="168">
        <f t="shared" si="23"/>
        <v>450</v>
      </c>
      <c r="Q60" s="168">
        <f t="shared" si="22"/>
        <v>223</v>
      </c>
      <c r="R60" s="983">
        <f t="shared" si="7"/>
        <v>49.555555555555557</v>
      </c>
    </row>
    <row r="61" spans="2:18" ht="12" customHeight="1" x14ac:dyDescent="0.2">
      <c r="B61" s="172">
        <f t="shared" si="8"/>
        <v>56</v>
      </c>
      <c r="C61" s="74"/>
      <c r="D61" s="178" t="s">
        <v>5</v>
      </c>
      <c r="E61" s="232"/>
      <c r="F61" s="232" t="s">
        <v>188</v>
      </c>
      <c r="G61" s="233"/>
      <c r="H61" s="386">
        <f>H62+H74</f>
        <v>415738</v>
      </c>
      <c r="I61" s="386">
        <f t="shared" ref="I61" si="24">I62+I74</f>
        <v>406100</v>
      </c>
      <c r="J61" s="965">
        <f t="shared" si="5"/>
        <v>97.681713001938718</v>
      </c>
      <c r="K61" s="20"/>
      <c r="L61" s="458"/>
      <c r="M61" s="458"/>
      <c r="N61" s="1091"/>
      <c r="O61" s="20"/>
      <c r="P61" s="237">
        <f t="shared" si="23"/>
        <v>415738</v>
      </c>
      <c r="Q61" s="237">
        <f t="shared" si="22"/>
        <v>406100</v>
      </c>
      <c r="R61" s="982">
        <f t="shared" si="7"/>
        <v>97.681713001938718</v>
      </c>
    </row>
    <row r="62" spans="2:18" ht="12" customHeight="1" x14ac:dyDescent="0.2">
      <c r="B62" s="172">
        <f t="shared" si="8"/>
        <v>57</v>
      </c>
      <c r="C62" s="126"/>
      <c r="D62" s="126"/>
      <c r="E62" s="356" t="s">
        <v>673</v>
      </c>
      <c r="F62" s="356"/>
      <c r="G62" s="357" t="s">
        <v>291</v>
      </c>
      <c r="H62" s="405">
        <f>H63+H64+H65+H72</f>
        <v>409100</v>
      </c>
      <c r="I62" s="405">
        <f t="shared" ref="I62" si="25">I63+I64+I65+I72</f>
        <v>399462</v>
      </c>
      <c r="J62" s="965">
        <f t="shared" si="5"/>
        <v>97.644096797848931</v>
      </c>
      <c r="K62" s="360"/>
      <c r="L62" s="463"/>
      <c r="M62" s="463"/>
      <c r="N62" s="1086"/>
      <c r="O62" s="360"/>
      <c r="P62" s="361">
        <f t="shared" si="23"/>
        <v>409100</v>
      </c>
      <c r="Q62" s="361">
        <f t="shared" si="22"/>
        <v>399462</v>
      </c>
      <c r="R62" s="1001">
        <f t="shared" si="7"/>
        <v>97.644096797848931</v>
      </c>
    </row>
    <row r="63" spans="2:18" ht="12" customHeight="1" x14ac:dyDescent="0.2">
      <c r="B63" s="172">
        <f t="shared" si="8"/>
        <v>58</v>
      </c>
      <c r="C63" s="126"/>
      <c r="D63" s="126"/>
      <c r="E63" s="149"/>
      <c r="F63" s="149">
        <v>610</v>
      </c>
      <c r="G63" s="201" t="s">
        <v>257</v>
      </c>
      <c r="H63" s="387">
        <v>176108</v>
      </c>
      <c r="I63" s="387">
        <v>176080</v>
      </c>
      <c r="J63" s="965">
        <f t="shared" si="5"/>
        <v>99.984100665500719</v>
      </c>
      <c r="K63" s="128"/>
      <c r="L63" s="139"/>
      <c r="M63" s="139"/>
      <c r="N63" s="1086"/>
      <c r="O63" s="128"/>
      <c r="P63" s="575">
        <f t="shared" si="23"/>
        <v>176108</v>
      </c>
      <c r="Q63" s="575">
        <f t="shared" si="22"/>
        <v>176080</v>
      </c>
      <c r="R63" s="1001">
        <f t="shared" si="7"/>
        <v>99.984100665500719</v>
      </c>
    </row>
    <row r="64" spans="2:18" ht="12" customHeight="1" x14ac:dyDescent="0.2">
      <c r="B64" s="172">
        <f t="shared" si="8"/>
        <v>59</v>
      </c>
      <c r="C64" s="126"/>
      <c r="D64" s="126"/>
      <c r="E64" s="130"/>
      <c r="F64" s="149">
        <v>620</v>
      </c>
      <c r="G64" s="201" t="s">
        <v>259</v>
      </c>
      <c r="H64" s="387">
        <f>61638+2170+500</f>
        <v>64308</v>
      </c>
      <c r="I64" s="387">
        <v>64139</v>
      </c>
      <c r="J64" s="965">
        <f t="shared" si="5"/>
        <v>99.737202214343469</v>
      </c>
      <c r="K64" s="128"/>
      <c r="L64" s="139"/>
      <c r="M64" s="139"/>
      <c r="N64" s="1086"/>
      <c r="O64" s="128"/>
      <c r="P64" s="575">
        <f t="shared" si="23"/>
        <v>64308</v>
      </c>
      <c r="Q64" s="575">
        <f t="shared" si="22"/>
        <v>64139</v>
      </c>
      <c r="R64" s="1001">
        <f t="shared" si="7"/>
        <v>99.737202214343469</v>
      </c>
    </row>
    <row r="65" spans="2:18" ht="12" customHeight="1" x14ac:dyDescent="0.2">
      <c r="B65" s="172">
        <f t="shared" si="8"/>
        <v>60</v>
      </c>
      <c r="C65" s="126"/>
      <c r="D65" s="126"/>
      <c r="E65" s="130"/>
      <c r="F65" s="149">
        <v>630</v>
      </c>
      <c r="G65" s="201" t="s">
        <v>236</v>
      </c>
      <c r="H65" s="387">
        <f>SUM(H66:H71)</f>
        <v>166534</v>
      </c>
      <c r="I65" s="387">
        <f t="shared" ref="I65" si="26">SUM(I66:I71)</f>
        <v>157100</v>
      </c>
      <c r="J65" s="965">
        <f t="shared" si="5"/>
        <v>94.335090732222852</v>
      </c>
      <c r="K65" s="128"/>
      <c r="L65" s="139"/>
      <c r="M65" s="139"/>
      <c r="N65" s="1086"/>
      <c r="O65" s="128"/>
      <c r="P65" s="575">
        <f t="shared" si="23"/>
        <v>166534</v>
      </c>
      <c r="Q65" s="575">
        <f t="shared" si="22"/>
        <v>157100</v>
      </c>
      <c r="R65" s="1001">
        <f t="shared" si="7"/>
        <v>94.335090732222852</v>
      </c>
    </row>
    <row r="66" spans="2:18" ht="12" customHeight="1" x14ac:dyDescent="0.2">
      <c r="B66" s="172">
        <f t="shared" si="8"/>
        <v>61</v>
      </c>
      <c r="C66" s="126"/>
      <c r="D66" s="126"/>
      <c r="E66" s="130"/>
      <c r="F66" s="130">
        <v>631</v>
      </c>
      <c r="G66" s="193" t="s">
        <v>520</v>
      </c>
      <c r="H66" s="570">
        <v>200</v>
      </c>
      <c r="I66" s="570">
        <v>57</v>
      </c>
      <c r="J66" s="966">
        <f t="shared" si="5"/>
        <v>28.499999999999996</v>
      </c>
      <c r="K66" s="128"/>
      <c r="L66" s="139"/>
      <c r="M66" s="139"/>
      <c r="N66" s="1086"/>
      <c r="O66" s="128"/>
      <c r="P66" s="169">
        <f t="shared" si="23"/>
        <v>200</v>
      </c>
      <c r="Q66" s="169">
        <f t="shared" si="22"/>
        <v>57</v>
      </c>
      <c r="R66" s="986">
        <f t="shared" si="7"/>
        <v>28.499999999999996</v>
      </c>
    </row>
    <row r="67" spans="2:18" ht="12" customHeight="1" x14ac:dyDescent="0.2">
      <c r="B67" s="172">
        <f t="shared" si="8"/>
        <v>62</v>
      </c>
      <c r="C67" s="126"/>
      <c r="D67" s="126"/>
      <c r="E67" s="130"/>
      <c r="F67" s="130">
        <v>632</v>
      </c>
      <c r="G67" s="193" t="s">
        <v>246</v>
      </c>
      <c r="H67" s="570">
        <v>57655</v>
      </c>
      <c r="I67" s="570">
        <v>54635</v>
      </c>
      <c r="J67" s="966">
        <f t="shared" si="5"/>
        <v>94.76194605845113</v>
      </c>
      <c r="K67" s="128"/>
      <c r="L67" s="139"/>
      <c r="M67" s="139"/>
      <c r="N67" s="1086"/>
      <c r="O67" s="128"/>
      <c r="P67" s="169">
        <f t="shared" si="23"/>
        <v>57655</v>
      </c>
      <c r="Q67" s="169">
        <f t="shared" si="22"/>
        <v>54635</v>
      </c>
      <c r="R67" s="986">
        <f t="shared" si="7"/>
        <v>94.76194605845113</v>
      </c>
    </row>
    <row r="68" spans="2:18" ht="12" customHeight="1" x14ac:dyDescent="0.2">
      <c r="B68" s="172">
        <f t="shared" si="8"/>
        <v>63</v>
      </c>
      <c r="C68" s="126"/>
      <c r="D68" s="126"/>
      <c r="E68" s="130"/>
      <c r="F68" s="130">
        <v>633</v>
      </c>
      <c r="G68" s="193" t="s">
        <v>247</v>
      </c>
      <c r="H68" s="570">
        <v>19350</v>
      </c>
      <c r="I68" s="570">
        <v>19229</v>
      </c>
      <c r="J68" s="966">
        <f t="shared" si="5"/>
        <v>99.374677002583979</v>
      </c>
      <c r="K68" s="128"/>
      <c r="L68" s="139"/>
      <c r="M68" s="139"/>
      <c r="N68" s="1086"/>
      <c r="O68" s="128"/>
      <c r="P68" s="169">
        <f t="shared" si="23"/>
        <v>19350</v>
      </c>
      <c r="Q68" s="169">
        <f t="shared" si="22"/>
        <v>19229</v>
      </c>
      <c r="R68" s="986">
        <f t="shared" si="7"/>
        <v>99.374677002583979</v>
      </c>
    </row>
    <row r="69" spans="2:18" ht="12" customHeight="1" x14ac:dyDescent="0.2">
      <c r="B69" s="172">
        <f t="shared" si="8"/>
        <v>64</v>
      </c>
      <c r="C69" s="126"/>
      <c r="D69" s="126"/>
      <c r="E69" s="130"/>
      <c r="F69" s="130">
        <v>634</v>
      </c>
      <c r="G69" s="193" t="s">
        <v>260</v>
      </c>
      <c r="H69" s="570">
        <v>2450</v>
      </c>
      <c r="I69" s="570">
        <v>1740</v>
      </c>
      <c r="J69" s="966">
        <f t="shared" si="5"/>
        <v>71.020408163265301</v>
      </c>
      <c r="K69" s="128"/>
      <c r="L69" s="139"/>
      <c r="M69" s="139"/>
      <c r="N69" s="1086"/>
      <c r="O69" s="128"/>
      <c r="P69" s="169">
        <f t="shared" si="23"/>
        <v>2450</v>
      </c>
      <c r="Q69" s="169">
        <f t="shared" si="22"/>
        <v>1740</v>
      </c>
      <c r="R69" s="986">
        <f t="shared" si="7"/>
        <v>71.020408163265301</v>
      </c>
    </row>
    <row r="70" spans="2:18" ht="12" customHeight="1" x14ac:dyDescent="0.2">
      <c r="B70" s="172">
        <f t="shared" si="8"/>
        <v>65</v>
      </c>
      <c r="C70" s="126"/>
      <c r="D70" s="126"/>
      <c r="E70" s="130"/>
      <c r="F70" s="130">
        <v>635</v>
      </c>
      <c r="G70" s="193" t="s">
        <v>261</v>
      </c>
      <c r="H70" s="381">
        <f>22000-267</f>
        <v>21733</v>
      </c>
      <c r="I70" s="381">
        <v>21628</v>
      </c>
      <c r="J70" s="978">
        <f t="shared" si="5"/>
        <v>99.516863755579081</v>
      </c>
      <c r="K70" s="128"/>
      <c r="L70" s="159"/>
      <c r="M70" s="159"/>
      <c r="N70" s="1089"/>
      <c r="O70" s="128"/>
      <c r="P70" s="215">
        <f t="shared" si="23"/>
        <v>21733</v>
      </c>
      <c r="Q70" s="215">
        <f t="shared" si="22"/>
        <v>21628</v>
      </c>
      <c r="R70" s="1000">
        <f t="shared" si="7"/>
        <v>99.516863755579081</v>
      </c>
    </row>
    <row r="71" spans="2:18" ht="12" customHeight="1" x14ac:dyDescent="0.2">
      <c r="B71" s="172">
        <f t="shared" si="8"/>
        <v>66</v>
      </c>
      <c r="C71" s="126"/>
      <c r="D71" s="126"/>
      <c r="E71" s="130"/>
      <c r="F71" s="130">
        <v>637</v>
      </c>
      <c r="G71" s="193" t="s">
        <v>248</v>
      </c>
      <c r="H71" s="570">
        <f>69551-4405</f>
        <v>65146</v>
      </c>
      <c r="I71" s="570">
        <v>59811</v>
      </c>
      <c r="J71" s="966">
        <f t="shared" ref="J71:J134" si="27">I71/H71*100</f>
        <v>91.810702115248816</v>
      </c>
      <c r="K71" s="128"/>
      <c r="L71" s="139"/>
      <c r="M71" s="139"/>
      <c r="N71" s="1086"/>
      <c r="O71" s="128"/>
      <c r="P71" s="169">
        <f t="shared" si="23"/>
        <v>65146</v>
      </c>
      <c r="Q71" s="169">
        <f t="shared" si="22"/>
        <v>59811</v>
      </c>
      <c r="R71" s="986">
        <f t="shared" ref="R71:R134" si="28">Q71/P71*100</f>
        <v>91.810702115248816</v>
      </c>
    </row>
    <row r="72" spans="2:18" ht="12" customHeight="1" x14ac:dyDescent="0.2">
      <c r="B72" s="172">
        <f t="shared" si="8"/>
        <v>67</v>
      </c>
      <c r="C72" s="126"/>
      <c r="D72" s="126"/>
      <c r="E72" s="130"/>
      <c r="F72" s="212">
        <v>640</v>
      </c>
      <c r="G72" s="201" t="s">
        <v>521</v>
      </c>
      <c r="H72" s="387">
        <f>4250-2100</f>
        <v>2150</v>
      </c>
      <c r="I72" s="387">
        <v>2143</v>
      </c>
      <c r="J72" s="965">
        <f t="shared" si="27"/>
        <v>99.674418604651166</v>
      </c>
      <c r="K72" s="128"/>
      <c r="L72" s="139"/>
      <c r="M72" s="139"/>
      <c r="N72" s="1086"/>
      <c r="O72" s="128"/>
      <c r="P72" s="169">
        <f t="shared" si="23"/>
        <v>2150</v>
      </c>
      <c r="Q72" s="169">
        <f t="shared" si="22"/>
        <v>2143</v>
      </c>
      <c r="R72" s="986">
        <f t="shared" si="28"/>
        <v>99.674418604651166</v>
      </c>
    </row>
    <row r="73" spans="2:18" ht="12" customHeight="1" x14ac:dyDescent="0.2">
      <c r="B73" s="172">
        <f t="shared" si="8"/>
        <v>68</v>
      </c>
      <c r="C73" s="126"/>
      <c r="D73" s="126"/>
      <c r="E73" s="162"/>
      <c r="F73" s="212"/>
      <c r="G73" s="201"/>
      <c r="H73" s="387"/>
      <c r="I73" s="387"/>
      <c r="J73" s="965"/>
      <c r="K73" s="128"/>
      <c r="L73" s="141"/>
      <c r="M73" s="141"/>
      <c r="N73" s="1091"/>
      <c r="O73" s="128"/>
      <c r="P73" s="169"/>
      <c r="Q73" s="169"/>
      <c r="R73" s="986"/>
    </row>
    <row r="74" spans="2:18" ht="12" customHeight="1" x14ac:dyDescent="0.2">
      <c r="B74" s="172">
        <f t="shared" si="8"/>
        <v>69</v>
      </c>
      <c r="C74" s="126"/>
      <c r="D74" s="126"/>
      <c r="E74" s="162" t="s">
        <v>673</v>
      </c>
      <c r="F74" s="702">
        <v>637</v>
      </c>
      <c r="G74" s="193" t="s">
        <v>792</v>
      </c>
      <c r="H74" s="570">
        <v>6638</v>
      </c>
      <c r="I74" s="570">
        <v>6638</v>
      </c>
      <c r="J74" s="966">
        <f t="shared" si="27"/>
        <v>100</v>
      </c>
      <c r="K74" s="128"/>
      <c r="L74" s="141"/>
      <c r="M74" s="141"/>
      <c r="N74" s="1091"/>
      <c r="O74" s="128"/>
      <c r="P74" s="169">
        <f t="shared" si="23"/>
        <v>6638</v>
      </c>
      <c r="Q74" s="169">
        <f t="shared" ref="Q74:Q80" si="29">I74+M74</f>
        <v>6638</v>
      </c>
      <c r="R74" s="986">
        <f t="shared" si="28"/>
        <v>100</v>
      </c>
    </row>
    <row r="75" spans="2:18" ht="12" customHeight="1" x14ac:dyDescent="0.2">
      <c r="B75" s="172">
        <f t="shared" si="8"/>
        <v>70</v>
      </c>
      <c r="C75" s="74"/>
      <c r="D75" s="178" t="s">
        <v>6</v>
      </c>
      <c r="E75" s="232"/>
      <c r="F75" s="232" t="s">
        <v>567</v>
      </c>
      <c r="G75" s="233"/>
      <c r="H75" s="386">
        <f>H76+H82+H83+H84+H85</f>
        <v>20180</v>
      </c>
      <c r="I75" s="386">
        <f t="shared" ref="I75" si="30">I76+I82+I83+I84+I85</f>
        <v>18099</v>
      </c>
      <c r="J75" s="965">
        <f t="shared" si="27"/>
        <v>89.687809712586713</v>
      </c>
      <c r="K75" s="20"/>
      <c r="L75" s="458"/>
      <c r="M75" s="458"/>
      <c r="N75" s="1091"/>
      <c r="O75" s="20"/>
      <c r="P75" s="237">
        <f t="shared" si="23"/>
        <v>20180</v>
      </c>
      <c r="Q75" s="237">
        <f t="shared" si="29"/>
        <v>18099</v>
      </c>
      <c r="R75" s="982">
        <f t="shared" si="28"/>
        <v>89.687809712586713</v>
      </c>
    </row>
    <row r="76" spans="2:18" ht="12" customHeight="1" thickBot="1" x14ac:dyDescent="0.25">
      <c r="B76" s="172">
        <f t="shared" si="8"/>
        <v>71</v>
      </c>
      <c r="C76" s="126"/>
      <c r="D76" s="126"/>
      <c r="E76" s="154" t="s">
        <v>673</v>
      </c>
      <c r="F76" s="154"/>
      <c r="G76" s="201" t="s">
        <v>445</v>
      </c>
      <c r="H76" s="387">
        <f>SUM(H77:H80)</f>
        <v>18550</v>
      </c>
      <c r="I76" s="387">
        <f t="shared" ref="I76" si="31">SUM(I77:I80)</f>
        <v>16851</v>
      </c>
      <c r="J76" s="965">
        <f t="shared" si="27"/>
        <v>90.840970350404319</v>
      </c>
      <c r="K76" s="137"/>
      <c r="L76" s="139"/>
      <c r="M76" s="139"/>
      <c r="N76" s="1086"/>
      <c r="O76" s="128"/>
      <c r="P76" s="575">
        <f t="shared" si="23"/>
        <v>18550</v>
      </c>
      <c r="Q76" s="575">
        <f t="shared" si="29"/>
        <v>16851</v>
      </c>
      <c r="R76" s="1001">
        <f t="shared" si="28"/>
        <v>90.840970350404319</v>
      </c>
    </row>
    <row r="77" spans="2:18" ht="12" customHeight="1" x14ac:dyDescent="0.2">
      <c r="B77" s="172">
        <f t="shared" si="8"/>
        <v>72</v>
      </c>
      <c r="C77" s="126"/>
      <c r="D77" s="126"/>
      <c r="E77" s="130"/>
      <c r="F77" s="130">
        <v>632</v>
      </c>
      <c r="G77" s="193" t="s">
        <v>246</v>
      </c>
      <c r="H77" s="570">
        <v>17800</v>
      </c>
      <c r="I77" s="570">
        <v>16229</v>
      </c>
      <c r="J77" s="966">
        <f t="shared" si="27"/>
        <v>91.174157303370791</v>
      </c>
      <c r="K77" s="128"/>
      <c r="L77" s="139"/>
      <c r="M77" s="139"/>
      <c r="N77" s="1086"/>
      <c r="O77" s="128"/>
      <c r="P77" s="169">
        <f t="shared" si="23"/>
        <v>17800</v>
      </c>
      <c r="Q77" s="169">
        <f t="shared" si="29"/>
        <v>16229</v>
      </c>
      <c r="R77" s="986">
        <f t="shared" si="28"/>
        <v>91.174157303370791</v>
      </c>
    </row>
    <row r="78" spans="2:18" ht="12" customHeight="1" x14ac:dyDescent="0.2">
      <c r="B78" s="172">
        <f t="shared" si="8"/>
        <v>73</v>
      </c>
      <c r="C78" s="126"/>
      <c r="D78" s="126"/>
      <c r="E78" s="130"/>
      <c r="F78" s="130">
        <v>633</v>
      </c>
      <c r="G78" s="193" t="s">
        <v>247</v>
      </c>
      <c r="H78" s="570">
        <f>100</f>
        <v>100</v>
      </c>
      <c r="I78" s="570">
        <v>99</v>
      </c>
      <c r="J78" s="966">
        <f t="shared" si="27"/>
        <v>99</v>
      </c>
      <c r="K78" s="128"/>
      <c r="L78" s="139"/>
      <c r="M78" s="139"/>
      <c r="N78" s="1086"/>
      <c r="O78" s="128"/>
      <c r="P78" s="169">
        <f t="shared" si="23"/>
        <v>100</v>
      </c>
      <c r="Q78" s="169">
        <f t="shared" si="29"/>
        <v>99</v>
      </c>
      <c r="R78" s="986">
        <f t="shared" si="28"/>
        <v>99</v>
      </c>
    </row>
    <row r="79" spans="2:18" ht="12" customHeight="1" x14ac:dyDescent="0.2">
      <c r="B79" s="172">
        <f t="shared" ref="B79:B144" si="32">B78+1</f>
        <v>74</v>
      </c>
      <c r="C79" s="126"/>
      <c r="D79" s="126"/>
      <c r="E79" s="130"/>
      <c r="F79" s="130">
        <v>635</v>
      </c>
      <c r="G79" s="193" t="s">
        <v>261</v>
      </c>
      <c r="H79" s="570">
        <f>300</f>
        <v>300</v>
      </c>
      <c r="I79" s="570">
        <v>217</v>
      </c>
      <c r="J79" s="966">
        <f t="shared" si="27"/>
        <v>72.333333333333343</v>
      </c>
      <c r="K79" s="128"/>
      <c r="L79" s="139"/>
      <c r="M79" s="139"/>
      <c r="N79" s="1086"/>
      <c r="O79" s="128"/>
      <c r="P79" s="169">
        <f t="shared" si="23"/>
        <v>300</v>
      </c>
      <c r="Q79" s="169">
        <f t="shared" si="29"/>
        <v>217</v>
      </c>
      <c r="R79" s="986">
        <f t="shared" si="28"/>
        <v>72.333333333333343</v>
      </c>
    </row>
    <row r="80" spans="2:18" ht="12" customHeight="1" x14ac:dyDescent="0.2">
      <c r="B80" s="172">
        <f t="shared" si="32"/>
        <v>75</v>
      </c>
      <c r="C80" s="126"/>
      <c r="D80" s="126"/>
      <c r="E80" s="130"/>
      <c r="F80" s="130">
        <v>637</v>
      </c>
      <c r="G80" s="193" t="s">
        <v>248</v>
      </c>
      <c r="H80" s="570">
        <f>100+250</f>
        <v>350</v>
      </c>
      <c r="I80" s="570">
        <v>306</v>
      </c>
      <c r="J80" s="966">
        <f t="shared" si="27"/>
        <v>87.428571428571431</v>
      </c>
      <c r="K80" s="128"/>
      <c r="L80" s="139"/>
      <c r="M80" s="139"/>
      <c r="N80" s="1086"/>
      <c r="O80" s="128"/>
      <c r="P80" s="169">
        <f t="shared" si="23"/>
        <v>350</v>
      </c>
      <c r="Q80" s="169">
        <f t="shared" si="29"/>
        <v>306</v>
      </c>
      <c r="R80" s="986">
        <f t="shared" si="28"/>
        <v>87.428571428571431</v>
      </c>
    </row>
    <row r="81" spans="2:18" ht="12" customHeight="1" x14ac:dyDescent="0.2">
      <c r="B81" s="172">
        <f t="shared" si="32"/>
        <v>76</v>
      </c>
      <c r="C81" s="126"/>
      <c r="D81" s="126"/>
      <c r="E81" s="130"/>
      <c r="F81" s="130"/>
      <c r="G81" s="193"/>
      <c r="H81" s="570"/>
      <c r="I81" s="570"/>
      <c r="J81" s="966"/>
      <c r="K81" s="128"/>
      <c r="L81" s="139"/>
      <c r="M81" s="139"/>
      <c r="N81" s="1086"/>
      <c r="O81" s="128"/>
      <c r="P81" s="169"/>
      <c r="Q81" s="169"/>
      <c r="R81" s="986"/>
    </row>
    <row r="82" spans="2:18" ht="12" customHeight="1" x14ac:dyDescent="0.2">
      <c r="B82" s="172">
        <f t="shared" si="32"/>
        <v>77</v>
      </c>
      <c r="C82" s="126"/>
      <c r="D82" s="126"/>
      <c r="E82" s="130"/>
      <c r="F82" s="130">
        <v>633</v>
      </c>
      <c r="G82" s="193" t="s">
        <v>247</v>
      </c>
      <c r="H82" s="570">
        <v>1200</v>
      </c>
      <c r="I82" s="570">
        <v>983</v>
      </c>
      <c r="J82" s="966">
        <f t="shared" si="27"/>
        <v>81.916666666666671</v>
      </c>
      <c r="K82" s="128"/>
      <c r="L82" s="139"/>
      <c r="M82" s="139"/>
      <c r="N82" s="1086"/>
      <c r="O82" s="128"/>
      <c r="P82" s="169">
        <f t="shared" ref="P82:P97" si="33">H82+L82</f>
        <v>1200</v>
      </c>
      <c r="Q82" s="169">
        <f t="shared" ref="Q82:Q97" si="34">I82+M82</f>
        <v>983</v>
      </c>
      <c r="R82" s="986">
        <f t="shared" si="28"/>
        <v>81.916666666666671</v>
      </c>
    </row>
    <row r="83" spans="2:18" ht="12" customHeight="1" x14ac:dyDescent="0.2">
      <c r="B83" s="172">
        <f t="shared" si="32"/>
        <v>78</v>
      </c>
      <c r="C83" s="126"/>
      <c r="D83" s="568"/>
      <c r="E83" s="160"/>
      <c r="F83" s="568">
        <v>635</v>
      </c>
      <c r="G83" s="193" t="s">
        <v>261</v>
      </c>
      <c r="H83" s="381">
        <v>200</v>
      </c>
      <c r="I83" s="381">
        <v>114</v>
      </c>
      <c r="J83" s="978">
        <f t="shared" si="27"/>
        <v>56.999999999999993</v>
      </c>
      <c r="K83" s="128"/>
      <c r="L83" s="159"/>
      <c r="M83" s="159"/>
      <c r="N83" s="1089"/>
      <c r="O83" s="128"/>
      <c r="P83" s="215">
        <f t="shared" si="33"/>
        <v>200</v>
      </c>
      <c r="Q83" s="215">
        <f t="shared" si="34"/>
        <v>114</v>
      </c>
      <c r="R83" s="1000">
        <f t="shared" si="28"/>
        <v>56.999999999999993</v>
      </c>
    </row>
    <row r="84" spans="2:18" ht="12" customHeight="1" x14ac:dyDescent="0.2">
      <c r="B84" s="172">
        <f t="shared" si="32"/>
        <v>79</v>
      </c>
      <c r="C84" s="126"/>
      <c r="D84" s="130"/>
      <c r="E84" s="160"/>
      <c r="F84" s="130">
        <v>637</v>
      </c>
      <c r="G84" s="193" t="s">
        <v>248</v>
      </c>
      <c r="H84" s="381">
        <v>150</v>
      </c>
      <c r="I84" s="381">
        <v>80</v>
      </c>
      <c r="J84" s="978">
        <f t="shared" si="27"/>
        <v>53.333333333333336</v>
      </c>
      <c r="K84" s="128"/>
      <c r="L84" s="159"/>
      <c r="M84" s="159"/>
      <c r="N84" s="1089"/>
      <c r="O84" s="128"/>
      <c r="P84" s="215">
        <f t="shared" si="33"/>
        <v>150</v>
      </c>
      <c r="Q84" s="215">
        <f t="shared" si="34"/>
        <v>80</v>
      </c>
      <c r="R84" s="1000">
        <f t="shared" si="28"/>
        <v>53.333333333333336</v>
      </c>
    </row>
    <row r="85" spans="2:18" ht="12" customHeight="1" x14ac:dyDescent="0.2">
      <c r="B85" s="172">
        <f t="shared" si="32"/>
        <v>80</v>
      </c>
      <c r="C85" s="126"/>
      <c r="D85" s="160"/>
      <c r="E85" s="568"/>
      <c r="F85" s="568">
        <v>637</v>
      </c>
      <c r="G85" s="193" t="s">
        <v>304</v>
      </c>
      <c r="H85" s="381">
        <v>80</v>
      </c>
      <c r="I85" s="381">
        <v>71</v>
      </c>
      <c r="J85" s="978">
        <f t="shared" si="27"/>
        <v>88.75</v>
      </c>
      <c r="K85" s="128"/>
      <c r="L85" s="159"/>
      <c r="M85" s="159"/>
      <c r="N85" s="1089"/>
      <c r="O85" s="128"/>
      <c r="P85" s="215">
        <f t="shared" si="33"/>
        <v>80</v>
      </c>
      <c r="Q85" s="215">
        <f t="shared" si="34"/>
        <v>71</v>
      </c>
      <c r="R85" s="1000">
        <f t="shared" si="28"/>
        <v>88.75</v>
      </c>
    </row>
    <row r="86" spans="2:18" ht="15.75" x14ac:dyDescent="0.25">
      <c r="B86" s="172">
        <f t="shared" si="32"/>
        <v>81</v>
      </c>
      <c r="C86" s="23">
        <v>6</v>
      </c>
      <c r="D86" s="123" t="s">
        <v>69</v>
      </c>
      <c r="E86" s="24"/>
      <c r="F86" s="24"/>
      <c r="G86" s="192"/>
      <c r="H86" s="416">
        <f>H87+H100+H99+H102+H103</f>
        <v>911486</v>
      </c>
      <c r="I86" s="416">
        <f t="shared" ref="I86" si="35">I87+I100+I99+I102+I103</f>
        <v>894722</v>
      </c>
      <c r="J86" s="971">
        <f t="shared" si="27"/>
        <v>98.160805541719782</v>
      </c>
      <c r="K86" s="86"/>
      <c r="L86" s="462">
        <f>L87</f>
        <v>0</v>
      </c>
      <c r="M86" s="462">
        <f t="shared" ref="M86" si="36">M87</f>
        <v>0</v>
      </c>
      <c r="N86" s="1093"/>
      <c r="O86" s="86"/>
      <c r="P86" s="372">
        <f t="shared" si="33"/>
        <v>911486</v>
      </c>
      <c r="Q86" s="372">
        <f t="shared" si="34"/>
        <v>894722</v>
      </c>
      <c r="R86" s="981">
        <f t="shared" si="28"/>
        <v>98.160805541719782</v>
      </c>
    </row>
    <row r="87" spans="2:18" ht="12" customHeight="1" x14ac:dyDescent="0.2">
      <c r="B87" s="172">
        <f t="shared" si="32"/>
        <v>82</v>
      </c>
      <c r="C87" s="131"/>
      <c r="D87" s="131"/>
      <c r="E87" s="356" t="s">
        <v>674</v>
      </c>
      <c r="F87" s="356"/>
      <c r="G87" s="357" t="s">
        <v>452</v>
      </c>
      <c r="H87" s="405">
        <f>H88+H89+H90+H97</f>
        <v>893638</v>
      </c>
      <c r="I87" s="405">
        <f t="shared" ref="I87" si="37">I88+I89+I90+I97</f>
        <v>877343</v>
      </c>
      <c r="J87" s="965">
        <f t="shared" si="27"/>
        <v>98.176554712310804</v>
      </c>
      <c r="K87" s="360"/>
      <c r="L87" s="463"/>
      <c r="M87" s="463"/>
      <c r="N87" s="1086"/>
      <c r="O87" s="360"/>
      <c r="P87" s="361">
        <f t="shared" si="33"/>
        <v>893638</v>
      </c>
      <c r="Q87" s="361">
        <f t="shared" si="34"/>
        <v>877343</v>
      </c>
      <c r="R87" s="1001">
        <f t="shared" si="28"/>
        <v>98.176554712310804</v>
      </c>
    </row>
    <row r="88" spans="2:18" ht="12" customHeight="1" x14ac:dyDescent="0.2">
      <c r="B88" s="172">
        <f t="shared" si="32"/>
        <v>83</v>
      </c>
      <c r="C88" s="126"/>
      <c r="D88" s="126"/>
      <c r="E88" s="149"/>
      <c r="F88" s="149">
        <v>610</v>
      </c>
      <c r="G88" s="201" t="s">
        <v>257</v>
      </c>
      <c r="H88" s="387">
        <f>386740+1050</f>
        <v>387790</v>
      </c>
      <c r="I88" s="387">
        <v>387699</v>
      </c>
      <c r="J88" s="965">
        <f t="shared" si="27"/>
        <v>99.976533690915176</v>
      </c>
      <c r="K88" s="128"/>
      <c r="L88" s="139"/>
      <c r="M88" s="139"/>
      <c r="N88" s="1086"/>
      <c r="O88" s="128"/>
      <c r="P88" s="575">
        <f t="shared" si="33"/>
        <v>387790</v>
      </c>
      <c r="Q88" s="575">
        <f t="shared" si="34"/>
        <v>387699</v>
      </c>
      <c r="R88" s="1001">
        <f t="shared" si="28"/>
        <v>99.976533690915176</v>
      </c>
    </row>
    <row r="89" spans="2:18" ht="12" customHeight="1" x14ac:dyDescent="0.2">
      <c r="B89" s="172">
        <f t="shared" si="32"/>
        <v>84</v>
      </c>
      <c r="C89" s="126"/>
      <c r="D89" s="126"/>
      <c r="E89" s="130"/>
      <c r="F89" s="149">
        <v>620</v>
      </c>
      <c r="G89" s="201" t="s">
        <v>259</v>
      </c>
      <c r="H89" s="387">
        <f>135359+4545</f>
        <v>139904</v>
      </c>
      <c r="I89" s="387">
        <v>139753</v>
      </c>
      <c r="J89" s="965">
        <f t="shared" si="27"/>
        <v>99.892068847209515</v>
      </c>
      <c r="K89" s="128"/>
      <c r="L89" s="139"/>
      <c r="M89" s="139"/>
      <c r="N89" s="1086"/>
      <c r="O89" s="128"/>
      <c r="P89" s="575">
        <f t="shared" si="33"/>
        <v>139904</v>
      </c>
      <c r="Q89" s="575">
        <f t="shared" si="34"/>
        <v>139753</v>
      </c>
      <c r="R89" s="1001">
        <f t="shared" si="28"/>
        <v>99.892068847209515</v>
      </c>
    </row>
    <row r="90" spans="2:18" ht="12" customHeight="1" x14ac:dyDescent="0.2">
      <c r="B90" s="172">
        <f t="shared" si="32"/>
        <v>85</v>
      </c>
      <c r="C90" s="126"/>
      <c r="D90" s="126"/>
      <c r="E90" s="130"/>
      <c r="F90" s="149">
        <v>630</v>
      </c>
      <c r="G90" s="201" t="s">
        <v>448</v>
      </c>
      <c r="H90" s="387">
        <f>SUM(H91:H96)</f>
        <v>361608</v>
      </c>
      <c r="I90" s="387">
        <f t="shared" ref="I90" si="38">SUM(I91:I96)</f>
        <v>345557</v>
      </c>
      <c r="J90" s="965">
        <f t="shared" si="27"/>
        <v>95.561215459834955</v>
      </c>
      <c r="K90" s="128"/>
      <c r="L90" s="139"/>
      <c r="M90" s="139"/>
      <c r="N90" s="1086"/>
      <c r="O90" s="128"/>
      <c r="P90" s="575">
        <f t="shared" si="33"/>
        <v>361608</v>
      </c>
      <c r="Q90" s="575">
        <f t="shared" si="34"/>
        <v>345557</v>
      </c>
      <c r="R90" s="1001">
        <f t="shared" si="28"/>
        <v>95.561215459834955</v>
      </c>
    </row>
    <row r="91" spans="2:18" ht="12" customHeight="1" x14ac:dyDescent="0.2">
      <c r="B91" s="172">
        <f t="shared" si="32"/>
        <v>86</v>
      </c>
      <c r="C91" s="126"/>
      <c r="D91" s="126"/>
      <c r="E91" s="130"/>
      <c r="F91" s="130">
        <v>631</v>
      </c>
      <c r="G91" s="193" t="s">
        <v>520</v>
      </c>
      <c r="H91" s="570">
        <v>200</v>
      </c>
      <c r="I91" s="570">
        <v>145</v>
      </c>
      <c r="J91" s="966">
        <f t="shared" si="27"/>
        <v>72.5</v>
      </c>
      <c r="K91" s="128"/>
      <c r="L91" s="139"/>
      <c r="M91" s="139"/>
      <c r="N91" s="1086"/>
      <c r="O91" s="128"/>
      <c r="P91" s="169">
        <f t="shared" si="33"/>
        <v>200</v>
      </c>
      <c r="Q91" s="169">
        <f t="shared" si="34"/>
        <v>145</v>
      </c>
      <c r="R91" s="986">
        <f t="shared" si="28"/>
        <v>72.5</v>
      </c>
    </row>
    <row r="92" spans="2:18" ht="12" customHeight="1" x14ac:dyDescent="0.2">
      <c r="B92" s="172">
        <f t="shared" si="32"/>
        <v>87</v>
      </c>
      <c r="C92" s="126"/>
      <c r="D92" s="126"/>
      <c r="E92" s="130"/>
      <c r="F92" s="130">
        <v>632</v>
      </c>
      <c r="G92" s="193" t="s">
        <v>319</v>
      </c>
      <c r="H92" s="570">
        <f>87995+4430+3000</f>
        <v>95425</v>
      </c>
      <c r="I92" s="570">
        <v>93994</v>
      </c>
      <c r="J92" s="966">
        <f t="shared" si="27"/>
        <v>98.500392978779146</v>
      </c>
      <c r="K92" s="128"/>
      <c r="L92" s="139"/>
      <c r="M92" s="139"/>
      <c r="N92" s="1086"/>
      <c r="O92" s="128"/>
      <c r="P92" s="169">
        <f t="shared" si="33"/>
        <v>95425</v>
      </c>
      <c r="Q92" s="169">
        <f t="shared" si="34"/>
        <v>93994</v>
      </c>
      <c r="R92" s="986">
        <f t="shared" si="28"/>
        <v>98.500392978779146</v>
      </c>
    </row>
    <row r="93" spans="2:18" ht="12" customHeight="1" x14ac:dyDescent="0.2">
      <c r="B93" s="172">
        <f t="shared" si="32"/>
        <v>88</v>
      </c>
      <c r="C93" s="126"/>
      <c r="D93" s="126"/>
      <c r="E93" s="130"/>
      <c r="F93" s="130">
        <v>633</v>
      </c>
      <c r="G93" s="193" t="s">
        <v>247</v>
      </c>
      <c r="H93" s="570">
        <f>16600+3300+1087</f>
        <v>20987</v>
      </c>
      <c r="I93" s="570">
        <v>20865</v>
      </c>
      <c r="J93" s="966">
        <f t="shared" si="27"/>
        <v>99.418687759088968</v>
      </c>
      <c r="K93" s="128"/>
      <c r="L93" s="139"/>
      <c r="M93" s="139"/>
      <c r="N93" s="1086"/>
      <c r="O93" s="128"/>
      <c r="P93" s="169">
        <f t="shared" si="33"/>
        <v>20987</v>
      </c>
      <c r="Q93" s="169">
        <f t="shared" si="34"/>
        <v>20865</v>
      </c>
      <c r="R93" s="986">
        <f t="shared" si="28"/>
        <v>99.418687759088968</v>
      </c>
    </row>
    <row r="94" spans="2:18" ht="12" customHeight="1" x14ac:dyDescent="0.2">
      <c r="B94" s="172">
        <f t="shared" si="32"/>
        <v>89</v>
      </c>
      <c r="C94" s="126"/>
      <c r="D94" s="126"/>
      <c r="E94" s="130"/>
      <c r="F94" s="130">
        <v>634</v>
      </c>
      <c r="G94" s="193" t="s">
        <v>260</v>
      </c>
      <c r="H94" s="570">
        <f>1330+150</f>
        <v>1480</v>
      </c>
      <c r="I94" s="570">
        <v>1408</v>
      </c>
      <c r="J94" s="966">
        <f t="shared" si="27"/>
        <v>95.135135135135144</v>
      </c>
      <c r="K94" s="128"/>
      <c r="L94" s="139"/>
      <c r="M94" s="139"/>
      <c r="N94" s="1086"/>
      <c r="O94" s="128"/>
      <c r="P94" s="169">
        <f t="shared" si="33"/>
        <v>1480</v>
      </c>
      <c r="Q94" s="169">
        <f t="shared" si="34"/>
        <v>1408</v>
      </c>
      <c r="R94" s="986">
        <f t="shared" si="28"/>
        <v>95.135135135135144</v>
      </c>
    </row>
    <row r="95" spans="2:18" ht="12" customHeight="1" x14ac:dyDescent="0.2">
      <c r="B95" s="172">
        <f t="shared" si="32"/>
        <v>90</v>
      </c>
      <c r="C95" s="126"/>
      <c r="D95" s="126"/>
      <c r="E95" s="130"/>
      <c r="F95" s="130">
        <v>635</v>
      </c>
      <c r="G95" s="193" t="s">
        <v>261</v>
      </c>
      <c r="H95" s="570">
        <f>11100+5561-2850</f>
        <v>13811</v>
      </c>
      <c r="I95" s="570">
        <v>13246</v>
      </c>
      <c r="J95" s="966">
        <f t="shared" si="27"/>
        <v>95.909057997248567</v>
      </c>
      <c r="K95" s="128"/>
      <c r="L95" s="139"/>
      <c r="M95" s="139"/>
      <c r="N95" s="1086"/>
      <c r="O95" s="128"/>
      <c r="P95" s="169">
        <f t="shared" si="33"/>
        <v>13811</v>
      </c>
      <c r="Q95" s="169">
        <f t="shared" si="34"/>
        <v>13246</v>
      </c>
      <c r="R95" s="986">
        <f t="shared" si="28"/>
        <v>95.909057997248567</v>
      </c>
    </row>
    <row r="96" spans="2:18" ht="12" customHeight="1" x14ac:dyDescent="0.2">
      <c r="B96" s="172">
        <f t="shared" si="32"/>
        <v>91</v>
      </c>
      <c r="C96" s="126"/>
      <c r="D96" s="126"/>
      <c r="E96" s="130"/>
      <c r="F96" s="130">
        <v>637</v>
      </c>
      <c r="G96" s="193" t="s">
        <v>248</v>
      </c>
      <c r="H96" s="570">
        <f>234355-5895+1245</f>
        <v>229705</v>
      </c>
      <c r="I96" s="570">
        <v>215899</v>
      </c>
      <c r="J96" s="966">
        <f t="shared" si="27"/>
        <v>93.989682418754498</v>
      </c>
      <c r="K96" s="128"/>
      <c r="L96" s="139"/>
      <c r="M96" s="139"/>
      <c r="N96" s="1086"/>
      <c r="O96" s="128"/>
      <c r="P96" s="169">
        <f t="shared" si="33"/>
        <v>229705</v>
      </c>
      <c r="Q96" s="169">
        <f t="shared" si="34"/>
        <v>215899</v>
      </c>
      <c r="R96" s="986">
        <f t="shared" si="28"/>
        <v>93.989682418754498</v>
      </c>
    </row>
    <row r="97" spans="2:18" ht="12" customHeight="1" x14ac:dyDescent="0.2">
      <c r="B97" s="172">
        <f t="shared" si="32"/>
        <v>92</v>
      </c>
      <c r="C97" s="126"/>
      <c r="D97" s="126"/>
      <c r="E97" s="130"/>
      <c r="F97" s="149">
        <v>640</v>
      </c>
      <c r="G97" s="201" t="s">
        <v>521</v>
      </c>
      <c r="H97" s="387">
        <f>3581+755</f>
        <v>4336</v>
      </c>
      <c r="I97" s="387">
        <v>4334</v>
      </c>
      <c r="J97" s="965">
        <f t="shared" si="27"/>
        <v>99.953874538745396</v>
      </c>
      <c r="K97" s="128"/>
      <c r="L97" s="139"/>
      <c r="M97" s="139"/>
      <c r="N97" s="1086"/>
      <c r="O97" s="128"/>
      <c r="P97" s="575">
        <f t="shared" si="33"/>
        <v>4336</v>
      </c>
      <c r="Q97" s="575">
        <f t="shared" si="34"/>
        <v>4334</v>
      </c>
      <c r="R97" s="1001">
        <f t="shared" si="28"/>
        <v>99.953874538745396</v>
      </c>
    </row>
    <row r="98" spans="2:18" ht="12" customHeight="1" x14ac:dyDescent="0.2">
      <c r="B98" s="172">
        <f t="shared" si="32"/>
        <v>93</v>
      </c>
      <c r="C98" s="126"/>
      <c r="D98" s="126"/>
      <c r="E98" s="130"/>
      <c r="F98" s="149"/>
      <c r="G98" s="201"/>
      <c r="H98" s="570"/>
      <c r="I98" s="570"/>
      <c r="J98" s="966"/>
      <c r="K98" s="128"/>
      <c r="L98" s="139"/>
      <c r="M98" s="139"/>
      <c r="N98" s="1086"/>
      <c r="O98" s="128"/>
      <c r="P98" s="169"/>
      <c r="Q98" s="169"/>
      <c r="R98" s="986"/>
    </row>
    <row r="99" spans="2:18" ht="12" customHeight="1" x14ac:dyDescent="0.2">
      <c r="B99" s="172">
        <f t="shared" si="32"/>
        <v>94</v>
      </c>
      <c r="C99" s="126"/>
      <c r="D99" s="126"/>
      <c r="E99" s="157" t="s">
        <v>674</v>
      </c>
      <c r="F99" s="157">
        <v>620</v>
      </c>
      <c r="G99" s="193" t="s">
        <v>583</v>
      </c>
      <c r="H99" s="570">
        <v>1000</v>
      </c>
      <c r="I99" s="570">
        <v>940</v>
      </c>
      <c r="J99" s="966">
        <f t="shared" si="27"/>
        <v>94</v>
      </c>
      <c r="K99" s="128"/>
      <c r="L99" s="139"/>
      <c r="M99" s="139"/>
      <c r="N99" s="1086"/>
      <c r="O99" s="128"/>
      <c r="P99" s="169">
        <f>H99+L99</f>
        <v>1000</v>
      </c>
      <c r="Q99" s="169">
        <f t="shared" ref="Q99:Q100" si="39">I99+M99</f>
        <v>940</v>
      </c>
      <c r="R99" s="986">
        <f t="shared" si="28"/>
        <v>94</v>
      </c>
    </row>
    <row r="100" spans="2:18" ht="12" customHeight="1" x14ac:dyDescent="0.2">
      <c r="B100" s="172">
        <f t="shared" si="32"/>
        <v>95</v>
      </c>
      <c r="C100" s="126"/>
      <c r="D100" s="126"/>
      <c r="E100" s="157" t="s">
        <v>674</v>
      </c>
      <c r="F100" s="130">
        <v>637</v>
      </c>
      <c r="G100" s="193" t="s">
        <v>285</v>
      </c>
      <c r="H100" s="570">
        <v>3100</v>
      </c>
      <c r="I100" s="570">
        <v>2772</v>
      </c>
      <c r="J100" s="966">
        <f t="shared" si="27"/>
        <v>89.41935483870968</v>
      </c>
      <c r="K100" s="128"/>
      <c r="L100" s="139"/>
      <c r="M100" s="139"/>
      <c r="N100" s="1086"/>
      <c r="O100" s="128"/>
      <c r="P100" s="169">
        <f>H100+L100</f>
        <v>3100</v>
      </c>
      <c r="Q100" s="169">
        <f t="shared" si="39"/>
        <v>2772</v>
      </c>
      <c r="R100" s="986">
        <f t="shared" si="28"/>
        <v>89.41935483870968</v>
      </c>
    </row>
    <row r="101" spans="2:18" x14ac:dyDescent="0.2">
      <c r="B101" s="172">
        <f t="shared" si="32"/>
        <v>96</v>
      </c>
      <c r="C101" s="126"/>
      <c r="D101" s="126"/>
      <c r="E101" s="130"/>
      <c r="F101" s="149"/>
      <c r="G101" s="201"/>
      <c r="H101" s="570"/>
      <c r="I101" s="570"/>
      <c r="J101" s="966"/>
      <c r="K101" s="128"/>
      <c r="L101" s="139"/>
      <c r="M101" s="139"/>
      <c r="N101" s="1086"/>
      <c r="O101" s="128"/>
      <c r="P101" s="169"/>
      <c r="Q101" s="169"/>
      <c r="R101" s="986"/>
    </row>
    <row r="102" spans="2:18" x14ac:dyDescent="0.2">
      <c r="B102" s="172">
        <f t="shared" si="32"/>
        <v>97</v>
      </c>
      <c r="C102" s="126"/>
      <c r="D102" s="160"/>
      <c r="E102" s="130" t="s">
        <v>674</v>
      </c>
      <c r="F102" s="157">
        <v>637</v>
      </c>
      <c r="G102" s="193" t="s">
        <v>792</v>
      </c>
      <c r="H102" s="381">
        <v>13248</v>
      </c>
      <c r="I102" s="381">
        <v>13248</v>
      </c>
      <c r="J102" s="978">
        <f t="shared" si="27"/>
        <v>100</v>
      </c>
      <c r="K102" s="128"/>
      <c r="L102" s="159"/>
      <c r="M102" s="159"/>
      <c r="N102" s="1089"/>
      <c r="O102" s="128"/>
      <c r="P102" s="169">
        <f t="shared" ref="P102:P103" si="40">H102+L102</f>
        <v>13248</v>
      </c>
      <c r="Q102" s="169">
        <f t="shared" ref="Q102:Q103" si="41">I102+M102</f>
        <v>13248</v>
      </c>
      <c r="R102" s="986">
        <f t="shared" si="28"/>
        <v>100</v>
      </c>
    </row>
    <row r="103" spans="2:18" x14ac:dyDescent="0.2">
      <c r="B103" s="172">
        <f t="shared" si="32"/>
        <v>98</v>
      </c>
      <c r="C103" s="126"/>
      <c r="D103" s="160"/>
      <c r="E103" s="130" t="s">
        <v>673</v>
      </c>
      <c r="F103" s="157">
        <v>640</v>
      </c>
      <c r="G103" s="193" t="s">
        <v>835</v>
      </c>
      <c r="H103" s="381">
        <v>500</v>
      </c>
      <c r="I103" s="381">
        <v>419</v>
      </c>
      <c r="J103" s="978">
        <f t="shared" si="27"/>
        <v>83.8</v>
      </c>
      <c r="K103" s="128"/>
      <c r="L103" s="159"/>
      <c r="M103" s="159"/>
      <c r="N103" s="1089"/>
      <c r="O103" s="128"/>
      <c r="P103" s="169">
        <f t="shared" si="40"/>
        <v>500</v>
      </c>
      <c r="Q103" s="169">
        <f t="shared" si="41"/>
        <v>419</v>
      </c>
      <c r="R103" s="986">
        <f t="shared" si="28"/>
        <v>83.8</v>
      </c>
    </row>
    <row r="104" spans="2:18" x14ac:dyDescent="0.2">
      <c r="B104" s="172">
        <f t="shared" si="32"/>
        <v>99</v>
      </c>
      <c r="C104" s="126"/>
      <c r="D104" s="160"/>
      <c r="E104" s="130"/>
      <c r="F104" s="149"/>
      <c r="G104" s="201"/>
      <c r="H104" s="381"/>
      <c r="I104" s="381"/>
      <c r="J104" s="978"/>
      <c r="K104" s="128"/>
      <c r="L104" s="159"/>
      <c r="M104" s="159"/>
      <c r="N104" s="1089"/>
      <c r="O104" s="128"/>
      <c r="P104" s="215"/>
      <c r="Q104" s="215"/>
      <c r="R104" s="1000"/>
    </row>
    <row r="105" spans="2:18" ht="15.75" x14ac:dyDescent="0.25">
      <c r="B105" s="172">
        <f t="shared" si="32"/>
        <v>100</v>
      </c>
      <c r="C105" s="23">
        <v>7</v>
      </c>
      <c r="D105" s="123" t="s">
        <v>146</v>
      </c>
      <c r="E105" s="24"/>
      <c r="F105" s="24"/>
      <c r="G105" s="192"/>
      <c r="H105" s="416">
        <f>H106</f>
        <v>324392</v>
      </c>
      <c r="I105" s="416">
        <f t="shared" ref="I105" si="42">I106</f>
        <v>319905</v>
      </c>
      <c r="J105" s="971">
        <f t="shared" si="27"/>
        <v>98.616796961700658</v>
      </c>
      <c r="K105" s="86"/>
      <c r="L105" s="462">
        <v>0</v>
      </c>
      <c r="M105" s="462">
        <v>0</v>
      </c>
      <c r="N105" s="1093"/>
      <c r="O105" s="86"/>
      <c r="P105" s="372">
        <f t="shared" ref="P105:P114" si="43">H105+L105</f>
        <v>324392</v>
      </c>
      <c r="Q105" s="372">
        <f t="shared" ref="Q105:Q114" si="44">I105+M105</f>
        <v>319905</v>
      </c>
      <c r="R105" s="981">
        <f t="shared" si="28"/>
        <v>98.616796961700658</v>
      </c>
    </row>
    <row r="106" spans="2:18" ht="12" customHeight="1" x14ac:dyDescent="0.2">
      <c r="B106" s="172">
        <f t="shared" si="32"/>
        <v>101</v>
      </c>
      <c r="C106" s="131"/>
      <c r="D106" s="131"/>
      <c r="E106" s="356" t="s">
        <v>674</v>
      </c>
      <c r="F106" s="356"/>
      <c r="G106" s="357" t="s">
        <v>453</v>
      </c>
      <c r="H106" s="405">
        <f>H107+H108+H109+H114</f>
        <v>324392</v>
      </c>
      <c r="I106" s="405">
        <f t="shared" ref="I106" si="45">I107+I108+I109+I114</f>
        <v>319905</v>
      </c>
      <c r="J106" s="965">
        <f t="shared" si="27"/>
        <v>98.616796961700658</v>
      </c>
      <c r="K106" s="360"/>
      <c r="L106" s="463"/>
      <c r="M106" s="463"/>
      <c r="N106" s="1086"/>
      <c r="O106" s="360"/>
      <c r="P106" s="361">
        <f t="shared" si="43"/>
        <v>324392</v>
      </c>
      <c r="Q106" s="361">
        <f t="shared" si="44"/>
        <v>319905</v>
      </c>
      <c r="R106" s="1001">
        <f t="shared" si="28"/>
        <v>98.616796961700658</v>
      </c>
    </row>
    <row r="107" spans="2:18" ht="12" customHeight="1" x14ac:dyDescent="0.2">
      <c r="B107" s="172">
        <f t="shared" si="32"/>
        <v>102</v>
      </c>
      <c r="C107" s="126"/>
      <c r="D107" s="126"/>
      <c r="E107" s="149"/>
      <c r="F107" s="149">
        <v>610</v>
      </c>
      <c r="G107" s="201" t="s">
        <v>257</v>
      </c>
      <c r="H107" s="387">
        <f>213079+4186-2000-4000</f>
        <v>211265</v>
      </c>
      <c r="I107" s="387">
        <v>211239</v>
      </c>
      <c r="J107" s="965">
        <f t="shared" si="27"/>
        <v>99.987693181549247</v>
      </c>
      <c r="K107" s="128"/>
      <c r="L107" s="139"/>
      <c r="M107" s="139"/>
      <c r="N107" s="1086"/>
      <c r="O107" s="128"/>
      <c r="P107" s="575">
        <f t="shared" si="43"/>
        <v>211265</v>
      </c>
      <c r="Q107" s="575">
        <f t="shared" si="44"/>
        <v>211239</v>
      </c>
      <c r="R107" s="1001">
        <f t="shared" si="28"/>
        <v>99.987693181549247</v>
      </c>
    </row>
    <row r="108" spans="2:18" ht="12" customHeight="1" x14ac:dyDescent="0.2">
      <c r="B108" s="172">
        <f t="shared" si="32"/>
        <v>103</v>
      </c>
      <c r="C108" s="126"/>
      <c r="D108" s="126"/>
      <c r="E108" s="130"/>
      <c r="F108" s="149">
        <v>620</v>
      </c>
      <c r="G108" s="201" t="s">
        <v>259</v>
      </c>
      <c r="H108" s="387">
        <f>74578+2254+200</f>
        <v>77032</v>
      </c>
      <c r="I108" s="387">
        <v>73369</v>
      </c>
      <c r="J108" s="965">
        <f t="shared" si="27"/>
        <v>95.244833316024511</v>
      </c>
      <c r="K108" s="128"/>
      <c r="L108" s="139"/>
      <c r="M108" s="139"/>
      <c r="N108" s="1086"/>
      <c r="O108" s="128"/>
      <c r="P108" s="575">
        <f t="shared" si="43"/>
        <v>77032</v>
      </c>
      <c r="Q108" s="575">
        <f t="shared" si="44"/>
        <v>73369</v>
      </c>
      <c r="R108" s="1001">
        <f t="shared" si="28"/>
        <v>95.244833316024511</v>
      </c>
    </row>
    <row r="109" spans="2:18" ht="12" customHeight="1" x14ac:dyDescent="0.2">
      <c r="B109" s="172">
        <f t="shared" si="32"/>
        <v>104</v>
      </c>
      <c r="C109" s="126"/>
      <c r="D109" s="126"/>
      <c r="E109" s="130"/>
      <c r="F109" s="149">
        <v>630</v>
      </c>
      <c r="G109" s="201" t="s">
        <v>236</v>
      </c>
      <c r="H109" s="387">
        <f>SUM(H110:H113)</f>
        <v>33283</v>
      </c>
      <c r="I109" s="387">
        <f t="shared" ref="I109" si="46">SUM(I110:I113)</f>
        <v>32486</v>
      </c>
      <c r="J109" s="965">
        <f t="shared" si="27"/>
        <v>97.605384130036356</v>
      </c>
      <c r="K109" s="128"/>
      <c r="L109" s="139"/>
      <c r="M109" s="139"/>
      <c r="N109" s="1086"/>
      <c r="O109" s="128"/>
      <c r="P109" s="575">
        <f t="shared" si="43"/>
        <v>33283</v>
      </c>
      <c r="Q109" s="575">
        <f t="shared" si="44"/>
        <v>32486</v>
      </c>
      <c r="R109" s="1001">
        <f t="shared" si="28"/>
        <v>97.605384130036356</v>
      </c>
    </row>
    <row r="110" spans="2:18" ht="12" customHeight="1" x14ac:dyDescent="0.2">
      <c r="B110" s="172">
        <f t="shared" si="32"/>
        <v>105</v>
      </c>
      <c r="C110" s="126"/>
      <c r="D110" s="126"/>
      <c r="E110" s="130"/>
      <c r="F110" s="130">
        <v>632</v>
      </c>
      <c r="G110" s="193" t="s">
        <v>298</v>
      </c>
      <c r="H110" s="570">
        <f>650+40</f>
        <v>690</v>
      </c>
      <c r="I110" s="570">
        <v>679</v>
      </c>
      <c r="J110" s="966">
        <f t="shared" si="27"/>
        <v>98.405797101449281</v>
      </c>
      <c r="K110" s="128"/>
      <c r="L110" s="139"/>
      <c r="M110" s="139"/>
      <c r="N110" s="1086"/>
      <c r="O110" s="128"/>
      <c r="P110" s="169">
        <f t="shared" si="43"/>
        <v>690</v>
      </c>
      <c r="Q110" s="169">
        <f t="shared" si="44"/>
        <v>679</v>
      </c>
      <c r="R110" s="986">
        <f t="shared" si="28"/>
        <v>98.405797101449281</v>
      </c>
    </row>
    <row r="111" spans="2:18" ht="12" customHeight="1" x14ac:dyDescent="0.2">
      <c r="B111" s="172">
        <f t="shared" si="32"/>
        <v>106</v>
      </c>
      <c r="C111" s="126"/>
      <c r="D111" s="126"/>
      <c r="E111" s="130"/>
      <c r="F111" s="130">
        <v>633</v>
      </c>
      <c r="G111" s="193" t="s">
        <v>247</v>
      </c>
      <c r="H111" s="570">
        <f>2000+50</f>
        <v>2050</v>
      </c>
      <c r="I111" s="570">
        <v>2022</v>
      </c>
      <c r="J111" s="966">
        <f t="shared" si="27"/>
        <v>98.634146341463406</v>
      </c>
      <c r="K111" s="128"/>
      <c r="L111" s="139"/>
      <c r="M111" s="139"/>
      <c r="N111" s="1086"/>
      <c r="O111" s="128"/>
      <c r="P111" s="169">
        <f t="shared" si="43"/>
        <v>2050</v>
      </c>
      <c r="Q111" s="169">
        <f t="shared" si="44"/>
        <v>2022</v>
      </c>
      <c r="R111" s="986">
        <f t="shared" si="28"/>
        <v>98.634146341463406</v>
      </c>
    </row>
    <row r="112" spans="2:18" ht="12" customHeight="1" x14ac:dyDescent="0.2">
      <c r="B112" s="172">
        <f t="shared" si="32"/>
        <v>107</v>
      </c>
      <c r="C112" s="126"/>
      <c r="D112" s="126"/>
      <c r="E112" s="130"/>
      <c r="F112" s="130">
        <v>634</v>
      </c>
      <c r="G112" s="193" t="s">
        <v>260</v>
      </c>
      <c r="H112" s="570">
        <f>4900+150+250</f>
        <v>5300</v>
      </c>
      <c r="I112" s="570">
        <v>5287</v>
      </c>
      <c r="J112" s="966">
        <f t="shared" si="27"/>
        <v>99.754716981132077</v>
      </c>
      <c r="K112" s="128"/>
      <c r="L112" s="139"/>
      <c r="M112" s="139"/>
      <c r="N112" s="1086"/>
      <c r="O112" s="128"/>
      <c r="P112" s="169">
        <f t="shared" si="43"/>
        <v>5300</v>
      </c>
      <c r="Q112" s="169">
        <f t="shared" si="44"/>
        <v>5287</v>
      </c>
      <c r="R112" s="986">
        <f t="shared" si="28"/>
        <v>99.754716981132077</v>
      </c>
    </row>
    <row r="113" spans="2:18" ht="12" customHeight="1" x14ac:dyDescent="0.2">
      <c r="B113" s="172">
        <f t="shared" si="32"/>
        <v>108</v>
      </c>
      <c r="C113" s="126"/>
      <c r="D113" s="126"/>
      <c r="E113" s="130"/>
      <c r="F113" s="130">
        <v>637</v>
      </c>
      <c r="G113" s="193" t="s">
        <v>248</v>
      </c>
      <c r="H113" s="570">
        <f>24693+550</f>
        <v>25243</v>
      </c>
      <c r="I113" s="570">
        <v>24498</v>
      </c>
      <c r="J113" s="966">
        <f t="shared" si="27"/>
        <v>97.048686764647627</v>
      </c>
      <c r="K113" s="128"/>
      <c r="L113" s="139"/>
      <c r="M113" s="139"/>
      <c r="N113" s="1086"/>
      <c r="O113" s="128"/>
      <c r="P113" s="169">
        <f t="shared" si="43"/>
        <v>25243</v>
      </c>
      <c r="Q113" s="169">
        <f t="shared" si="44"/>
        <v>24498</v>
      </c>
      <c r="R113" s="986">
        <f t="shared" si="28"/>
        <v>97.048686764647627</v>
      </c>
    </row>
    <row r="114" spans="2:18" x14ac:dyDescent="0.2">
      <c r="B114" s="172">
        <f t="shared" si="32"/>
        <v>109</v>
      </c>
      <c r="C114" s="126"/>
      <c r="D114" s="126"/>
      <c r="E114" s="130"/>
      <c r="F114" s="149">
        <v>640</v>
      </c>
      <c r="G114" s="201" t="s">
        <v>299</v>
      </c>
      <c r="H114" s="387">
        <f>1897+915</f>
        <v>2812</v>
      </c>
      <c r="I114" s="387">
        <v>2811</v>
      </c>
      <c r="J114" s="965">
        <f t="shared" si="27"/>
        <v>99.964438122332851</v>
      </c>
      <c r="K114" s="128"/>
      <c r="L114" s="139"/>
      <c r="M114" s="139"/>
      <c r="N114" s="1086"/>
      <c r="O114" s="128"/>
      <c r="P114" s="575">
        <f t="shared" si="43"/>
        <v>2812</v>
      </c>
      <c r="Q114" s="575">
        <f t="shared" si="44"/>
        <v>2811</v>
      </c>
      <c r="R114" s="1001">
        <f t="shared" si="28"/>
        <v>99.964438122332851</v>
      </c>
    </row>
    <row r="115" spans="2:18" x14ac:dyDescent="0.2">
      <c r="B115" s="172">
        <f t="shared" si="32"/>
        <v>110</v>
      </c>
      <c r="C115" s="126"/>
      <c r="D115" s="160"/>
      <c r="E115" s="130"/>
      <c r="F115" s="149"/>
      <c r="G115" s="201"/>
      <c r="H115" s="444"/>
      <c r="I115" s="444"/>
      <c r="J115" s="995"/>
      <c r="K115" s="128"/>
      <c r="L115" s="159"/>
      <c r="M115" s="159"/>
      <c r="N115" s="1089"/>
      <c r="O115" s="128"/>
      <c r="P115" s="215"/>
      <c r="Q115" s="215"/>
      <c r="R115" s="1000"/>
    </row>
    <row r="116" spans="2:18" ht="15.75" x14ac:dyDescent="0.25">
      <c r="B116" s="172">
        <f t="shared" si="32"/>
        <v>111</v>
      </c>
      <c r="C116" s="23">
        <v>8</v>
      </c>
      <c r="D116" s="123" t="s">
        <v>101</v>
      </c>
      <c r="E116" s="24"/>
      <c r="F116" s="24"/>
      <c r="G116" s="192"/>
      <c r="H116" s="416">
        <f>H117</f>
        <v>2000</v>
      </c>
      <c r="I116" s="416">
        <f t="shared" ref="I116" si="47">I117</f>
        <v>338</v>
      </c>
      <c r="J116" s="971">
        <f t="shared" si="27"/>
        <v>16.900000000000002</v>
      </c>
      <c r="K116" s="86"/>
      <c r="L116" s="462">
        <v>0</v>
      </c>
      <c r="M116" s="462">
        <v>0</v>
      </c>
      <c r="N116" s="1093"/>
      <c r="O116" s="86"/>
      <c r="P116" s="372">
        <f t="shared" ref="P116:P143" si="48">H116+L116</f>
        <v>2000</v>
      </c>
      <c r="Q116" s="372">
        <f t="shared" ref="Q116:Q144" si="49">I116+M116</f>
        <v>338</v>
      </c>
      <c r="R116" s="981">
        <f t="shared" si="28"/>
        <v>16.900000000000002</v>
      </c>
    </row>
    <row r="117" spans="2:18" x14ac:dyDescent="0.2">
      <c r="B117" s="172">
        <f t="shared" si="32"/>
        <v>112</v>
      </c>
      <c r="C117" s="131"/>
      <c r="D117" s="131"/>
      <c r="E117" s="568" t="s">
        <v>277</v>
      </c>
      <c r="F117" s="568">
        <v>637</v>
      </c>
      <c r="G117" s="204" t="s">
        <v>286</v>
      </c>
      <c r="H117" s="570">
        <v>2000</v>
      </c>
      <c r="I117" s="570">
        <v>338</v>
      </c>
      <c r="J117" s="966">
        <f t="shared" si="27"/>
        <v>16.900000000000002</v>
      </c>
      <c r="K117" s="128"/>
      <c r="L117" s="139"/>
      <c r="M117" s="139"/>
      <c r="N117" s="1086"/>
      <c r="O117" s="128"/>
      <c r="P117" s="169">
        <f t="shared" si="48"/>
        <v>2000</v>
      </c>
      <c r="Q117" s="169">
        <f t="shared" si="49"/>
        <v>338</v>
      </c>
      <c r="R117" s="986">
        <f t="shared" si="28"/>
        <v>16.900000000000002</v>
      </c>
    </row>
    <row r="118" spans="2:18" ht="15.75" x14ac:dyDescent="0.25">
      <c r="B118" s="172">
        <f t="shared" si="32"/>
        <v>113</v>
      </c>
      <c r="C118" s="23">
        <v>9</v>
      </c>
      <c r="D118" s="123" t="s">
        <v>147</v>
      </c>
      <c r="E118" s="24"/>
      <c r="F118" s="24"/>
      <c r="G118" s="192"/>
      <c r="H118" s="416">
        <f>SUM(H119:H123)</f>
        <v>16471</v>
      </c>
      <c r="I118" s="416">
        <f t="shared" ref="I118" si="50">SUM(I119:I123)</f>
        <v>12465</v>
      </c>
      <c r="J118" s="971">
        <f t="shared" si="27"/>
        <v>75.678465181227622</v>
      </c>
      <c r="K118" s="86"/>
      <c r="L118" s="462">
        <v>0</v>
      </c>
      <c r="M118" s="462">
        <v>0</v>
      </c>
      <c r="N118" s="1093"/>
      <c r="O118" s="86"/>
      <c r="P118" s="372">
        <f t="shared" si="48"/>
        <v>16471</v>
      </c>
      <c r="Q118" s="372">
        <f t="shared" si="49"/>
        <v>12465</v>
      </c>
      <c r="R118" s="981">
        <f t="shared" si="28"/>
        <v>75.678465181227622</v>
      </c>
    </row>
    <row r="119" spans="2:18" ht="12" customHeight="1" x14ac:dyDescent="0.2">
      <c r="B119" s="172">
        <f t="shared" si="32"/>
        <v>114</v>
      </c>
      <c r="C119" s="131"/>
      <c r="D119" s="131"/>
      <c r="E119" s="568" t="s">
        <v>675</v>
      </c>
      <c r="F119" s="568">
        <v>640</v>
      </c>
      <c r="G119" s="204" t="s">
        <v>287</v>
      </c>
      <c r="H119" s="570">
        <v>500</v>
      </c>
      <c r="I119" s="570"/>
      <c r="J119" s="966">
        <f t="shared" si="27"/>
        <v>0</v>
      </c>
      <c r="K119" s="128"/>
      <c r="L119" s="139"/>
      <c r="M119" s="139"/>
      <c r="N119" s="1086"/>
      <c r="O119" s="128"/>
      <c r="P119" s="169">
        <f t="shared" si="48"/>
        <v>500</v>
      </c>
      <c r="Q119" s="169">
        <f t="shared" si="49"/>
        <v>0</v>
      </c>
      <c r="R119" s="986">
        <f t="shared" si="28"/>
        <v>0</v>
      </c>
    </row>
    <row r="120" spans="2:18" ht="12" customHeight="1" x14ac:dyDescent="0.2">
      <c r="B120" s="172">
        <f t="shared" si="32"/>
        <v>115</v>
      </c>
      <c r="C120" s="126"/>
      <c r="D120" s="126"/>
      <c r="E120" s="568" t="s">
        <v>675</v>
      </c>
      <c r="F120" s="568">
        <v>640</v>
      </c>
      <c r="G120" s="193" t="s">
        <v>288</v>
      </c>
      <c r="H120" s="570">
        <v>500</v>
      </c>
      <c r="I120" s="570"/>
      <c r="J120" s="966">
        <f t="shared" si="27"/>
        <v>0</v>
      </c>
      <c r="K120" s="128"/>
      <c r="L120" s="139"/>
      <c r="M120" s="139"/>
      <c r="N120" s="1086"/>
      <c r="O120" s="128"/>
      <c r="P120" s="169">
        <f t="shared" si="48"/>
        <v>500</v>
      </c>
      <c r="Q120" s="169">
        <f t="shared" si="49"/>
        <v>0</v>
      </c>
      <c r="R120" s="986">
        <f t="shared" si="28"/>
        <v>0</v>
      </c>
    </row>
    <row r="121" spans="2:18" ht="12" customHeight="1" x14ac:dyDescent="0.2">
      <c r="B121" s="172">
        <f t="shared" si="32"/>
        <v>116</v>
      </c>
      <c r="C121" s="131"/>
      <c r="D121" s="131"/>
      <c r="E121" s="568" t="s">
        <v>675</v>
      </c>
      <c r="F121" s="568">
        <v>640</v>
      </c>
      <c r="G121" s="204" t="s">
        <v>289</v>
      </c>
      <c r="H121" s="570">
        <f>11000-500-5100</f>
        <v>5400</v>
      </c>
      <c r="I121" s="570">
        <v>2388</v>
      </c>
      <c r="J121" s="966">
        <f t="shared" si="27"/>
        <v>44.222222222222221</v>
      </c>
      <c r="K121" s="148"/>
      <c r="L121" s="139"/>
      <c r="M121" s="139"/>
      <c r="N121" s="1086"/>
      <c r="O121" s="148"/>
      <c r="P121" s="169">
        <f t="shared" si="48"/>
        <v>5400</v>
      </c>
      <c r="Q121" s="169">
        <f t="shared" si="49"/>
        <v>2388</v>
      </c>
      <c r="R121" s="986">
        <f t="shared" si="28"/>
        <v>44.222222222222221</v>
      </c>
    </row>
    <row r="122" spans="2:18" ht="12" customHeight="1" x14ac:dyDescent="0.2">
      <c r="B122" s="172">
        <f t="shared" si="32"/>
        <v>117</v>
      </c>
      <c r="C122" s="126"/>
      <c r="D122" s="568"/>
      <c r="E122" s="568" t="s">
        <v>675</v>
      </c>
      <c r="F122" s="568">
        <v>637</v>
      </c>
      <c r="G122" s="193" t="s">
        <v>652</v>
      </c>
      <c r="H122" s="381">
        <f>4000+6000</f>
        <v>10000</v>
      </c>
      <c r="I122" s="523">
        <f>10077-I123</f>
        <v>10006</v>
      </c>
      <c r="J122" s="978">
        <f t="shared" si="27"/>
        <v>100.05999999999999</v>
      </c>
      <c r="K122" s="128"/>
      <c r="L122" s="159"/>
      <c r="M122" s="159"/>
      <c r="N122" s="1089"/>
      <c r="O122" s="128"/>
      <c r="P122" s="215">
        <f t="shared" si="48"/>
        <v>10000</v>
      </c>
      <c r="Q122" s="215">
        <f t="shared" si="49"/>
        <v>10006</v>
      </c>
      <c r="R122" s="1000">
        <f t="shared" si="28"/>
        <v>100.05999999999999</v>
      </c>
    </row>
    <row r="123" spans="2:18" ht="12" customHeight="1" x14ac:dyDescent="0.2">
      <c r="B123" s="172"/>
      <c r="C123" s="126"/>
      <c r="D123" s="160"/>
      <c r="E123" s="568" t="s">
        <v>675</v>
      </c>
      <c r="F123" s="568">
        <v>637</v>
      </c>
      <c r="G123" s="193" t="s">
        <v>793</v>
      </c>
      <c r="H123" s="381">
        <v>71</v>
      </c>
      <c r="I123" s="381">
        <v>71</v>
      </c>
      <c r="J123" s="978">
        <f t="shared" si="27"/>
        <v>100</v>
      </c>
      <c r="K123" s="128"/>
      <c r="L123" s="159"/>
      <c r="M123" s="159"/>
      <c r="N123" s="1089"/>
      <c r="O123" s="128"/>
      <c r="P123" s="215">
        <f t="shared" si="48"/>
        <v>71</v>
      </c>
      <c r="Q123" s="215">
        <f t="shared" si="49"/>
        <v>71</v>
      </c>
      <c r="R123" s="1000">
        <f t="shared" si="28"/>
        <v>100</v>
      </c>
    </row>
    <row r="124" spans="2:18" ht="15.75" x14ac:dyDescent="0.25">
      <c r="B124" s="172">
        <f>B122+1</f>
        <v>118</v>
      </c>
      <c r="C124" s="23">
        <v>10</v>
      </c>
      <c r="D124" s="123" t="s">
        <v>125</v>
      </c>
      <c r="E124" s="24"/>
      <c r="F124" s="24"/>
      <c r="G124" s="192"/>
      <c r="H124" s="416">
        <f>H125</f>
        <v>11729</v>
      </c>
      <c r="I124" s="416">
        <f t="shared" ref="I124" si="51">I125</f>
        <v>11051</v>
      </c>
      <c r="J124" s="971">
        <f t="shared" si="27"/>
        <v>94.219456049109041</v>
      </c>
      <c r="K124" s="86"/>
      <c r="L124" s="462">
        <v>0</v>
      </c>
      <c r="M124" s="462">
        <v>0</v>
      </c>
      <c r="N124" s="1093"/>
      <c r="O124" s="86"/>
      <c r="P124" s="372">
        <f t="shared" si="48"/>
        <v>11729</v>
      </c>
      <c r="Q124" s="372">
        <f t="shared" si="49"/>
        <v>11051</v>
      </c>
      <c r="R124" s="981">
        <f t="shared" si="28"/>
        <v>94.219456049109041</v>
      </c>
    </row>
    <row r="125" spans="2:18" ht="12" customHeight="1" x14ac:dyDescent="0.2">
      <c r="B125" s="172">
        <f t="shared" si="32"/>
        <v>119</v>
      </c>
      <c r="C125" s="131"/>
      <c r="D125" s="131"/>
      <c r="E125" s="356" t="s">
        <v>674</v>
      </c>
      <c r="F125" s="356"/>
      <c r="G125" s="357" t="s">
        <v>454</v>
      </c>
      <c r="H125" s="405">
        <f>H126+H127+H128+H132</f>
        <v>11729</v>
      </c>
      <c r="I125" s="405">
        <f t="shared" ref="I125" si="52">I126+I127+I128+I132</f>
        <v>11051</v>
      </c>
      <c r="J125" s="965">
        <f t="shared" si="27"/>
        <v>94.219456049109041</v>
      </c>
      <c r="K125" s="360"/>
      <c r="L125" s="463"/>
      <c r="M125" s="463"/>
      <c r="N125" s="1086"/>
      <c r="O125" s="360"/>
      <c r="P125" s="361">
        <f t="shared" si="48"/>
        <v>11729</v>
      </c>
      <c r="Q125" s="361">
        <f t="shared" si="49"/>
        <v>11051</v>
      </c>
      <c r="R125" s="1001">
        <f t="shared" si="28"/>
        <v>94.219456049109041</v>
      </c>
    </row>
    <row r="126" spans="2:18" ht="12" customHeight="1" x14ac:dyDescent="0.2">
      <c r="B126" s="172">
        <f t="shared" si="32"/>
        <v>120</v>
      </c>
      <c r="C126" s="126"/>
      <c r="D126" s="126"/>
      <c r="E126" s="149"/>
      <c r="F126" s="149">
        <v>610</v>
      </c>
      <c r="G126" s="201" t="s">
        <v>257</v>
      </c>
      <c r="H126" s="387">
        <v>6240</v>
      </c>
      <c r="I126" s="387">
        <v>6239</v>
      </c>
      <c r="J126" s="965">
        <f t="shared" si="27"/>
        <v>99.983974358974365</v>
      </c>
      <c r="K126" s="128"/>
      <c r="L126" s="139"/>
      <c r="M126" s="139"/>
      <c r="N126" s="1086"/>
      <c r="O126" s="128"/>
      <c r="P126" s="575">
        <f t="shared" si="48"/>
        <v>6240</v>
      </c>
      <c r="Q126" s="575">
        <f t="shared" si="49"/>
        <v>6239</v>
      </c>
      <c r="R126" s="1001">
        <f t="shared" si="28"/>
        <v>99.983974358974365</v>
      </c>
    </row>
    <row r="127" spans="2:18" ht="12" customHeight="1" x14ac:dyDescent="0.2">
      <c r="B127" s="172">
        <f t="shared" si="32"/>
        <v>121</v>
      </c>
      <c r="C127" s="126"/>
      <c r="D127" s="126"/>
      <c r="E127" s="130"/>
      <c r="F127" s="149">
        <v>620</v>
      </c>
      <c r="G127" s="201" t="s">
        <v>259</v>
      </c>
      <c r="H127" s="387">
        <f>2189-168</f>
        <v>2021</v>
      </c>
      <c r="I127" s="387">
        <v>1693</v>
      </c>
      <c r="J127" s="965">
        <f t="shared" si="27"/>
        <v>83.770410687778323</v>
      </c>
      <c r="K127" s="128"/>
      <c r="L127" s="139"/>
      <c r="M127" s="139"/>
      <c r="N127" s="1086"/>
      <c r="O127" s="128"/>
      <c r="P127" s="575">
        <f t="shared" si="48"/>
        <v>2021</v>
      </c>
      <c r="Q127" s="575">
        <f t="shared" si="49"/>
        <v>1693</v>
      </c>
      <c r="R127" s="1001">
        <f t="shared" si="28"/>
        <v>83.770410687778323</v>
      </c>
    </row>
    <row r="128" spans="2:18" ht="12" customHeight="1" x14ac:dyDescent="0.2">
      <c r="B128" s="172">
        <f t="shared" si="32"/>
        <v>122</v>
      </c>
      <c r="C128" s="126"/>
      <c r="D128" s="126"/>
      <c r="E128" s="130"/>
      <c r="F128" s="149">
        <v>630</v>
      </c>
      <c r="G128" s="201" t="s">
        <v>236</v>
      </c>
      <c r="H128" s="387">
        <f>H129+H130+H131</f>
        <v>3408</v>
      </c>
      <c r="I128" s="387">
        <f t="shared" ref="I128" si="53">I129+I130+I131</f>
        <v>3089</v>
      </c>
      <c r="J128" s="965">
        <f t="shared" si="27"/>
        <v>90.639671361502351</v>
      </c>
      <c r="K128" s="128"/>
      <c r="L128" s="139"/>
      <c r="M128" s="139"/>
      <c r="N128" s="1086"/>
      <c r="O128" s="128"/>
      <c r="P128" s="575">
        <f t="shared" si="48"/>
        <v>3408</v>
      </c>
      <c r="Q128" s="575">
        <f t="shared" si="49"/>
        <v>3089</v>
      </c>
      <c r="R128" s="1001">
        <f t="shared" si="28"/>
        <v>90.639671361502351</v>
      </c>
    </row>
    <row r="129" spans="2:18" ht="12" customHeight="1" x14ac:dyDescent="0.2">
      <c r="B129" s="172">
        <f t="shared" si="32"/>
        <v>123</v>
      </c>
      <c r="C129" s="126"/>
      <c r="D129" s="126"/>
      <c r="E129" s="130"/>
      <c r="F129" s="130">
        <v>632</v>
      </c>
      <c r="G129" s="193" t="s">
        <v>455</v>
      </c>
      <c r="H129" s="570">
        <v>70</v>
      </c>
      <c r="I129" s="570">
        <v>37</v>
      </c>
      <c r="J129" s="966">
        <f t="shared" si="27"/>
        <v>52.857142857142861</v>
      </c>
      <c r="K129" s="128"/>
      <c r="L129" s="139"/>
      <c r="M129" s="139"/>
      <c r="N129" s="1086"/>
      <c r="O129" s="128"/>
      <c r="P129" s="169">
        <f t="shared" si="48"/>
        <v>70</v>
      </c>
      <c r="Q129" s="169">
        <f t="shared" si="49"/>
        <v>37</v>
      </c>
      <c r="R129" s="986">
        <f t="shared" si="28"/>
        <v>52.857142857142861</v>
      </c>
    </row>
    <row r="130" spans="2:18" ht="12" customHeight="1" x14ac:dyDescent="0.2">
      <c r="B130" s="172">
        <f t="shared" si="32"/>
        <v>124</v>
      </c>
      <c r="C130" s="126"/>
      <c r="D130" s="126"/>
      <c r="E130" s="130"/>
      <c r="F130" s="130">
        <v>634</v>
      </c>
      <c r="G130" s="193" t="s">
        <v>260</v>
      </c>
      <c r="H130" s="570">
        <f>2240+400-85+168</f>
        <v>2723</v>
      </c>
      <c r="I130" s="570">
        <v>2599</v>
      </c>
      <c r="J130" s="966">
        <f t="shared" si="27"/>
        <v>95.446199045170772</v>
      </c>
      <c r="K130" s="128"/>
      <c r="L130" s="139"/>
      <c r="M130" s="139"/>
      <c r="N130" s="1086"/>
      <c r="O130" s="128"/>
      <c r="P130" s="169">
        <f t="shared" si="48"/>
        <v>2723</v>
      </c>
      <c r="Q130" s="169">
        <f t="shared" si="49"/>
        <v>2599</v>
      </c>
      <c r="R130" s="986">
        <f t="shared" si="28"/>
        <v>95.446199045170772</v>
      </c>
    </row>
    <row r="131" spans="2:18" ht="12" customHeight="1" x14ac:dyDescent="0.2">
      <c r="B131" s="172">
        <f t="shared" si="32"/>
        <v>125</v>
      </c>
      <c r="C131" s="126"/>
      <c r="D131" s="126"/>
      <c r="E131" s="130"/>
      <c r="F131" s="130">
        <v>637</v>
      </c>
      <c r="G131" s="193" t="s">
        <v>248</v>
      </c>
      <c r="H131" s="570">
        <v>615</v>
      </c>
      <c r="I131" s="570">
        <v>453</v>
      </c>
      <c r="J131" s="966">
        <f t="shared" si="27"/>
        <v>73.658536585365852</v>
      </c>
      <c r="K131" s="128"/>
      <c r="L131" s="139"/>
      <c r="M131" s="139"/>
      <c r="N131" s="1086"/>
      <c r="O131" s="128"/>
      <c r="P131" s="169">
        <f t="shared" si="48"/>
        <v>615</v>
      </c>
      <c r="Q131" s="169">
        <f t="shared" si="49"/>
        <v>453</v>
      </c>
      <c r="R131" s="986">
        <f t="shared" si="28"/>
        <v>73.658536585365852</v>
      </c>
    </row>
    <row r="132" spans="2:18" x14ac:dyDescent="0.2">
      <c r="B132" s="172">
        <f t="shared" si="32"/>
        <v>126</v>
      </c>
      <c r="C132" s="126"/>
      <c r="D132" s="160"/>
      <c r="E132" s="568"/>
      <c r="F132" s="149">
        <v>640</v>
      </c>
      <c r="G132" s="201" t="s">
        <v>268</v>
      </c>
      <c r="H132" s="387">
        <f>30+85-55</f>
        <v>60</v>
      </c>
      <c r="I132" s="387">
        <v>30</v>
      </c>
      <c r="J132" s="965">
        <f t="shared" si="27"/>
        <v>50</v>
      </c>
      <c r="K132" s="128"/>
      <c r="L132" s="139"/>
      <c r="M132" s="139"/>
      <c r="N132" s="1086"/>
      <c r="O132" s="128"/>
      <c r="P132" s="575">
        <f t="shared" si="48"/>
        <v>60</v>
      </c>
      <c r="Q132" s="575">
        <f t="shared" si="49"/>
        <v>30</v>
      </c>
      <c r="R132" s="1001">
        <f t="shared" si="28"/>
        <v>50</v>
      </c>
    </row>
    <row r="133" spans="2:18" ht="15.75" x14ac:dyDescent="0.25">
      <c r="B133" s="172">
        <f t="shared" si="32"/>
        <v>127</v>
      </c>
      <c r="C133" s="23">
        <v>11</v>
      </c>
      <c r="D133" s="123" t="s">
        <v>467</v>
      </c>
      <c r="E133" s="24"/>
      <c r="F133" s="24"/>
      <c r="G133" s="192"/>
      <c r="H133" s="416">
        <f>H134</f>
        <v>120449</v>
      </c>
      <c r="I133" s="416">
        <f t="shared" ref="I133" si="54">I134</f>
        <v>119388</v>
      </c>
      <c r="J133" s="971">
        <f t="shared" si="27"/>
        <v>99.11912925802622</v>
      </c>
      <c r="K133" s="86"/>
      <c r="L133" s="462">
        <v>0</v>
      </c>
      <c r="M133" s="462">
        <v>0</v>
      </c>
      <c r="N133" s="1093"/>
      <c r="O133" s="86"/>
      <c r="P133" s="372">
        <f t="shared" si="48"/>
        <v>120449</v>
      </c>
      <c r="Q133" s="372">
        <f t="shared" si="49"/>
        <v>119388</v>
      </c>
      <c r="R133" s="981">
        <f t="shared" si="28"/>
        <v>99.11912925802622</v>
      </c>
    </row>
    <row r="134" spans="2:18" ht="12" customHeight="1" x14ac:dyDescent="0.2">
      <c r="B134" s="172">
        <f t="shared" si="32"/>
        <v>128</v>
      </c>
      <c r="C134" s="131"/>
      <c r="D134" s="131"/>
      <c r="E134" s="356" t="s">
        <v>672</v>
      </c>
      <c r="F134" s="356"/>
      <c r="G134" s="357" t="s">
        <v>454</v>
      </c>
      <c r="H134" s="405">
        <f>H135+H136+H137+H144</f>
        <v>120449</v>
      </c>
      <c r="I134" s="405">
        <f t="shared" ref="I134" si="55">I135+I136+I137+I144</f>
        <v>119388</v>
      </c>
      <c r="J134" s="965">
        <f t="shared" si="27"/>
        <v>99.11912925802622</v>
      </c>
      <c r="K134" s="360"/>
      <c r="L134" s="463"/>
      <c r="M134" s="463"/>
      <c r="N134" s="1086"/>
      <c r="O134" s="360"/>
      <c r="P134" s="361">
        <f t="shared" si="48"/>
        <v>120449</v>
      </c>
      <c r="Q134" s="361">
        <f t="shared" si="49"/>
        <v>119388</v>
      </c>
      <c r="R134" s="1001">
        <f t="shared" si="28"/>
        <v>99.11912925802622</v>
      </c>
    </row>
    <row r="135" spans="2:18" ht="12" customHeight="1" x14ac:dyDescent="0.2">
      <c r="B135" s="172">
        <f t="shared" si="32"/>
        <v>129</v>
      </c>
      <c r="C135" s="126"/>
      <c r="D135" s="126"/>
      <c r="E135" s="149"/>
      <c r="F135" s="149">
        <v>610</v>
      </c>
      <c r="G135" s="201" t="s">
        <v>257</v>
      </c>
      <c r="H135" s="387">
        <v>69450</v>
      </c>
      <c r="I135" s="387">
        <v>69450</v>
      </c>
      <c r="J135" s="965">
        <f t="shared" ref="J135:J144" si="56">I135/H135*100</f>
        <v>100</v>
      </c>
      <c r="K135" s="128"/>
      <c r="L135" s="139"/>
      <c r="M135" s="139"/>
      <c r="N135" s="1086"/>
      <c r="O135" s="128"/>
      <c r="P135" s="575">
        <f t="shared" si="48"/>
        <v>69450</v>
      </c>
      <c r="Q135" s="575">
        <f t="shared" si="49"/>
        <v>69450</v>
      </c>
      <c r="R135" s="1001">
        <f t="shared" ref="R135:R144" si="57">Q135/P135*100</f>
        <v>100</v>
      </c>
    </row>
    <row r="136" spans="2:18" ht="12" customHeight="1" x14ac:dyDescent="0.2">
      <c r="B136" s="172">
        <f t="shared" si="32"/>
        <v>130</v>
      </c>
      <c r="C136" s="131"/>
      <c r="D136" s="131"/>
      <c r="E136" s="130"/>
      <c r="F136" s="149">
        <v>620</v>
      </c>
      <c r="G136" s="201" t="s">
        <v>259</v>
      </c>
      <c r="H136" s="387">
        <f>24308+200</f>
        <v>24508</v>
      </c>
      <c r="I136" s="387">
        <v>24453</v>
      </c>
      <c r="J136" s="965">
        <f t="shared" si="56"/>
        <v>99.775583482944342</v>
      </c>
      <c r="K136" s="128"/>
      <c r="L136" s="139"/>
      <c r="M136" s="139"/>
      <c r="N136" s="1086"/>
      <c r="O136" s="128"/>
      <c r="P136" s="575">
        <f t="shared" si="48"/>
        <v>24508</v>
      </c>
      <c r="Q136" s="575">
        <f t="shared" si="49"/>
        <v>24453</v>
      </c>
      <c r="R136" s="1001">
        <f t="shared" si="57"/>
        <v>99.775583482944342</v>
      </c>
    </row>
    <row r="137" spans="2:18" ht="12" customHeight="1" x14ac:dyDescent="0.2">
      <c r="B137" s="172">
        <f t="shared" si="32"/>
        <v>131</v>
      </c>
      <c r="C137" s="126"/>
      <c r="D137" s="126"/>
      <c r="E137" s="130"/>
      <c r="F137" s="149">
        <v>630</v>
      </c>
      <c r="G137" s="201" t="s">
        <v>236</v>
      </c>
      <c r="H137" s="387">
        <f>SUM(H138:H143)</f>
        <v>26421</v>
      </c>
      <c r="I137" s="387">
        <f t="shared" ref="I137" si="58">SUM(I138:I143)</f>
        <v>25420</v>
      </c>
      <c r="J137" s="965">
        <f t="shared" si="56"/>
        <v>96.211347034555843</v>
      </c>
      <c r="K137" s="148"/>
      <c r="L137" s="139"/>
      <c r="M137" s="139"/>
      <c r="N137" s="1086"/>
      <c r="O137" s="148"/>
      <c r="P137" s="575">
        <f t="shared" si="48"/>
        <v>26421</v>
      </c>
      <c r="Q137" s="575">
        <f t="shared" si="49"/>
        <v>25420</v>
      </c>
      <c r="R137" s="1001">
        <f t="shared" si="57"/>
        <v>96.211347034555843</v>
      </c>
    </row>
    <row r="138" spans="2:18" ht="12" customHeight="1" x14ac:dyDescent="0.2">
      <c r="B138" s="172">
        <f t="shared" si="32"/>
        <v>132</v>
      </c>
      <c r="C138" s="126"/>
      <c r="D138" s="126"/>
      <c r="E138" s="130"/>
      <c r="F138" s="130">
        <v>631</v>
      </c>
      <c r="G138" s="193" t="s">
        <v>520</v>
      </c>
      <c r="H138" s="381">
        <v>300</v>
      </c>
      <c r="I138" s="381">
        <v>108</v>
      </c>
      <c r="J138" s="978">
        <f t="shared" si="56"/>
        <v>36</v>
      </c>
      <c r="K138" s="128"/>
      <c r="L138" s="159"/>
      <c r="M138" s="159"/>
      <c r="N138" s="1089"/>
      <c r="O138" s="128"/>
      <c r="P138" s="215">
        <f t="shared" si="48"/>
        <v>300</v>
      </c>
      <c r="Q138" s="215">
        <f t="shared" si="49"/>
        <v>108</v>
      </c>
      <c r="R138" s="1000">
        <f t="shared" si="57"/>
        <v>36</v>
      </c>
    </row>
    <row r="139" spans="2:18" ht="12" customHeight="1" x14ac:dyDescent="0.2">
      <c r="B139" s="172">
        <f t="shared" si="32"/>
        <v>133</v>
      </c>
      <c r="C139" s="126"/>
      <c r="D139" s="126"/>
      <c r="E139" s="130"/>
      <c r="F139" s="130">
        <v>632</v>
      </c>
      <c r="G139" s="193" t="s">
        <v>319</v>
      </c>
      <c r="H139" s="381">
        <f>2150+300+100</f>
        <v>2550</v>
      </c>
      <c r="I139" s="381">
        <v>2487</v>
      </c>
      <c r="J139" s="978">
        <f t="shared" si="56"/>
        <v>97.529411764705884</v>
      </c>
      <c r="K139" s="128"/>
      <c r="L139" s="159"/>
      <c r="M139" s="159"/>
      <c r="N139" s="1089"/>
      <c r="O139" s="128"/>
      <c r="P139" s="215">
        <f t="shared" si="48"/>
        <v>2550</v>
      </c>
      <c r="Q139" s="215">
        <f t="shared" si="49"/>
        <v>2487</v>
      </c>
      <c r="R139" s="1000">
        <f t="shared" si="57"/>
        <v>97.529411764705884</v>
      </c>
    </row>
    <row r="140" spans="2:18" ht="12" customHeight="1" x14ac:dyDescent="0.2">
      <c r="B140" s="172">
        <f t="shared" si="32"/>
        <v>134</v>
      </c>
      <c r="C140" s="126"/>
      <c r="D140" s="126"/>
      <c r="E140" s="130"/>
      <c r="F140" s="130">
        <v>633</v>
      </c>
      <c r="G140" s="193" t="s">
        <v>247</v>
      </c>
      <c r="H140" s="570">
        <f>3030+10</f>
        <v>3040</v>
      </c>
      <c r="I140" s="570">
        <v>3035</v>
      </c>
      <c r="J140" s="966">
        <f t="shared" si="56"/>
        <v>99.835526315789465</v>
      </c>
      <c r="K140" s="128"/>
      <c r="L140" s="139"/>
      <c r="M140" s="139"/>
      <c r="N140" s="1086"/>
      <c r="O140" s="128"/>
      <c r="P140" s="169">
        <f t="shared" si="48"/>
        <v>3040</v>
      </c>
      <c r="Q140" s="169">
        <f t="shared" si="49"/>
        <v>3035</v>
      </c>
      <c r="R140" s="986">
        <f t="shared" si="57"/>
        <v>99.835526315789465</v>
      </c>
    </row>
    <row r="141" spans="2:18" ht="12" customHeight="1" x14ac:dyDescent="0.2">
      <c r="B141" s="172">
        <f t="shared" si="32"/>
        <v>135</v>
      </c>
      <c r="C141" s="126"/>
      <c r="D141" s="126"/>
      <c r="E141" s="130"/>
      <c r="F141" s="130">
        <v>634</v>
      </c>
      <c r="G141" s="193" t="s">
        <v>260</v>
      </c>
      <c r="H141" s="570">
        <f>473+150</f>
        <v>623</v>
      </c>
      <c r="I141" s="570">
        <v>622</v>
      </c>
      <c r="J141" s="966">
        <f t="shared" si="56"/>
        <v>99.839486356340288</v>
      </c>
      <c r="K141" s="128"/>
      <c r="L141" s="139"/>
      <c r="M141" s="139"/>
      <c r="N141" s="1086"/>
      <c r="O141" s="128"/>
      <c r="P141" s="169">
        <f t="shared" si="48"/>
        <v>623</v>
      </c>
      <c r="Q141" s="169">
        <f t="shared" si="49"/>
        <v>622</v>
      </c>
      <c r="R141" s="986">
        <f t="shared" si="57"/>
        <v>99.839486356340288</v>
      </c>
    </row>
    <row r="142" spans="2:18" ht="12" customHeight="1" x14ac:dyDescent="0.2">
      <c r="B142" s="172">
        <f t="shared" si="32"/>
        <v>136</v>
      </c>
      <c r="C142" s="126"/>
      <c r="D142" s="126"/>
      <c r="E142" s="130"/>
      <c r="F142" s="130">
        <v>635</v>
      </c>
      <c r="G142" s="193" t="s">
        <v>261</v>
      </c>
      <c r="H142" s="570">
        <f>1600-170</f>
        <v>1430</v>
      </c>
      <c r="I142" s="570">
        <v>754</v>
      </c>
      <c r="J142" s="966">
        <f t="shared" si="56"/>
        <v>52.72727272727272</v>
      </c>
      <c r="K142" s="128"/>
      <c r="L142" s="139"/>
      <c r="M142" s="139"/>
      <c r="N142" s="1086"/>
      <c r="O142" s="128"/>
      <c r="P142" s="169">
        <f t="shared" si="48"/>
        <v>1430</v>
      </c>
      <c r="Q142" s="169">
        <f t="shared" si="49"/>
        <v>754</v>
      </c>
      <c r="R142" s="986">
        <f t="shared" si="57"/>
        <v>52.72727272727272</v>
      </c>
    </row>
    <row r="143" spans="2:18" ht="12" customHeight="1" x14ac:dyDescent="0.2">
      <c r="B143" s="172">
        <f t="shared" si="32"/>
        <v>137</v>
      </c>
      <c r="C143" s="180"/>
      <c r="D143" s="180"/>
      <c r="E143" s="181"/>
      <c r="F143" s="181">
        <v>637</v>
      </c>
      <c r="G143" s="225" t="s">
        <v>248</v>
      </c>
      <c r="H143" s="571">
        <f>17508+1350-380</f>
        <v>18478</v>
      </c>
      <c r="I143" s="571">
        <v>18414</v>
      </c>
      <c r="J143" s="979">
        <f t="shared" si="56"/>
        <v>99.653642169065918</v>
      </c>
      <c r="K143" s="128"/>
      <c r="L143" s="141"/>
      <c r="M143" s="141"/>
      <c r="N143" s="1091"/>
      <c r="O143" s="128"/>
      <c r="P143" s="168">
        <f t="shared" si="48"/>
        <v>18478</v>
      </c>
      <c r="Q143" s="168">
        <f t="shared" si="49"/>
        <v>18414</v>
      </c>
      <c r="R143" s="983">
        <f t="shared" si="57"/>
        <v>99.653642169065918</v>
      </c>
    </row>
    <row r="144" spans="2:18" ht="12" customHeight="1" thickBot="1" x14ac:dyDescent="0.25">
      <c r="B144" s="172">
        <f t="shared" si="32"/>
        <v>138</v>
      </c>
      <c r="C144" s="213"/>
      <c r="D144" s="213"/>
      <c r="E144" s="213"/>
      <c r="F144" s="849">
        <v>640</v>
      </c>
      <c r="G144" s="850" t="s">
        <v>268</v>
      </c>
      <c r="H144" s="829">
        <v>70</v>
      </c>
      <c r="I144" s="829">
        <v>65</v>
      </c>
      <c r="J144" s="1070">
        <f t="shared" si="56"/>
        <v>92.857142857142861</v>
      </c>
      <c r="K144" s="802"/>
      <c r="L144" s="384"/>
      <c r="M144" s="384"/>
      <c r="N144" s="1092"/>
      <c r="O144" s="802"/>
      <c r="P144" s="851">
        <f t="shared" ref="P144" si="59">H144+L144</f>
        <v>70</v>
      </c>
      <c r="Q144" s="851">
        <f t="shared" si="49"/>
        <v>65</v>
      </c>
      <c r="R144" s="1094">
        <f t="shared" si="57"/>
        <v>92.857142857142861</v>
      </c>
    </row>
    <row r="145" ht="15" customHeight="1" x14ac:dyDescent="0.2"/>
  </sheetData>
  <mergeCells count="14">
    <mergeCell ref="Q3:Q5"/>
    <mergeCell ref="R3:R5"/>
    <mergeCell ref="I4:I5"/>
    <mergeCell ref="J4:J5"/>
    <mergeCell ref="M4:M5"/>
    <mergeCell ref="N4:N5"/>
    <mergeCell ref="P3:P5"/>
    <mergeCell ref="L4:L5"/>
    <mergeCell ref="B3:N3"/>
    <mergeCell ref="C4:C5"/>
    <mergeCell ref="D4:D5"/>
    <mergeCell ref="E4:E5"/>
    <mergeCell ref="F4:F5"/>
    <mergeCell ref="H4:H5"/>
  </mergeCells>
  <pageMargins left="0.51181102362204722" right="0.39370078740157483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6.5703125" style="1025" customWidth="1"/>
    <col min="11" max="11" width="1.7109375" style="76" customWidth="1"/>
    <col min="12" max="12" width="11.42578125" style="76" customWidth="1"/>
    <col min="13" max="13" width="11.5703125" style="76" customWidth="1"/>
    <col min="14" max="14" width="6" style="1080" customWidth="1"/>
    <col min="15" max="15" width="2" style="76" customWidth="1"/>
    <col min="16" max="16" width="12.85546875" style="76" customWidth="1"/>
    <col min="17" max="17" width="12.140625" customWidth="1"/>
    <col min="18" max="18" width="5.7109375" style="1007" customWidth="1"/>
  </cols>
  <sheetData>
    <row r="1" spans="2:18" ht="15" customHeight="1" x14ac:dyDescent="0.2"/>
    <row r="2" spans="2:18" ht="17.25" customHeight="1" x14ac:dyDescent="0.2"/>
    <row r="3" spans="2:18" ht="27.75" thickBot="1" x14ac:dyDescent="0.4">
      <c r="B3" s="134" t="s">
        <v>230</v>
      </c>
      <c r="C3" s="134"/>
      <c r="D3" s="134"/>
      <c r="E3" s="134"/>
      <c r="F3" s="134"/>
      <c r="G3" s="134"/>
      <c r="H3" s="134"/>
      <c r="I3" s="134"/>
      <c r="J3" s="1045"/>
      <c r="K3" s="134"/>
      <c r="L3" s="134"/>
      <c r="M3" s="134"/>
      <c r="N3" s="1081"/>
      <c r="O3" s="134"/>
      <c r="P3" s="134"/>
    </row>
    <row r="4" spans="2:18" ht="13.5" customHeight="1" thickBot="1" x14ac:dyDescent="0.25">
      <c r="B4" s="1131" t="s">
        <v>632</v>
      </c>
      <c r="C4" s="1132"/>
      <c r="D4" s="1132"/>
      <c r="E4" s="1132"/>
      <c r="F4" s="1132"/>
      <c r="G4" s="1132"/>
      <c r="H4" s="1132"/>
      <c r="I4" s="1132"/>
      <c r="J4" s="1132"/>
      <c r="K4" s="1132"/>
      <c r="L4" s="1132"/>
      <c r="M4" s="1132"/>
      <c r="N4" s="1133"/>
      <c r="O4" s="116"/>
      <c r="P4" s="1125" t="s">
        <v>716</v>
      </c>
      <c r="Q4" s="1125" t="s">
        <v>886</v>
      </c>
      <c r="R4" s="1128" t="s">
        <v>887</v>
      </c>
    </row>
    <row r="5" spans="2:18" ht="35.25" customHeight="1" thickTop="1" x14ac:dyDescent="0.2">
      <c r="B5" s="548"/>
      <c r="C5" s="1141" t="s">
        <v>478</v>
      </c>
      <c r="D5" s="1141" t="s">
        <v>477</v>
      </c>
      <c r="E5" s="1141" t="s">
        <v>475</v>
      </c>
      <c r="F5" s="1141" t="s">
        <v>476</v>
      </c>
      <c r="G5" s="550" t="s">
        <v>3</v>
      </c>
      <c r="H5" s="1135" t="s">
        <v>902</v>
      </c>
      <c r="I5" s="1135" t="s">
        <v>903</v>
      </c>
      <c r="J5" s="1143" t="s">
        <v>887</v>
      </c>
      <c r="L5" s="1137" t="s">
        <v>904</v>
      </c>
      <c r="M5" s="1137" t="s">
        <v>905</v>
      </c>
      <c r="N5" s="1139" t="s">
        <v>887</v>
      </c>
      <c r="P5" s="1126"/>
      <c r="Q5" s="1126"/>
      <c r="R5" s="1129"/>
    </row>
    <row r="6" spans="2:18" ht="40.5" customHeight="1" thickBot="1" x14ac:dyDescent="0.25">
      <c r="B6" s="925"/>
      <c r="C6" s="1124"/>
      <c r="D6" s="1124"/>
      <c r="E6" s="1124"/>
      <c r="F6" s="1124"/>
      <c r="G6" s="551"/>
      <c r="H6" s="1136"/>
      <c r="I6" s="1136"/>
      <c r="J6" s="1144"/>
      <c r="L6" s="1138"/>
      <c r="M6" s="1138"/>
      <c r="N6" s="1140"/>
      <c r="P6" s="1127"/>
      <c r="Q6" s="1127"/>
      <c r="R6" s="1130"/>
    </row>
    <row r="7" spans="2:18" ht="19.5" thickTop="1" thickBot="1" x14ac:dyDescent="0.25">
      <c r="B7" s="675">
        <v>1</v>
      </c>
      <c r="C7" s="121" t="s">
        <v>231</v>
      </c>
      <c r="D7" s="109"/>
      <c r="E7" s="109"/>
      <c r="F7" s="109"/>
      <c r="G7" s="203"/>
      <c r="H7" s="417">
        <f>H8+H9</f>
        <v>150250</v>
      </c>
      <c r="I7" s="417">
        <f t="shared" ref="I7" si="0">I8+I9</f>
        <v>128565</v>
      </c>
      <c r="J7" s="1005">
        <f>I7/H7*100</f>
        <v>85.567387687188017</v>
      </c>
      <c r="K7" s="111"/>
      <c r="L7" s="196">
        <f>L8+L9</f>
        <v>0</v>
      </c>
      <c r="M7" s="196">
        <f t="shared" ref="M7" si="1">M8+M9</f>
        <v>0</v>
      </c>
      <c r="N7" s="1177">
        <v>0</v>
      </c>
      <c r="O7" s="111"/>
      <c r="P7" s="371">
        <f t="shared" ref="P7:P20" si="2">H7+L7</f>
        <v>150250</v>
      </c>
      <c r="Q7" s="371">
        <f t="shared" ref="Q7:Q20" si="3">I7+M7</f>
        <v>128565</v>
      </c>
      <c r="R7" s="992">
        <f>Q7/P7*100</f>
        <v>85.567387687188017</v>
      </c>
    </row>
    <row r="8" spans="2:18" ht="16.5" thickTop="1" x14ac:dyDescent="0.25">
      <c r="B8" s="132">
        <f>B7+1</f>
        <v>2</v>
      </c>
      <c r="C8" s="23">
        <v>1</v>
      </c>
      <c r="D8" s="123" t="s">
        <v>168</v>
      </c>
      <c r="E8" s="24"/>
      <c r="F8" s="24"/>
      <c r="G8" s="192"/>
      <c r="H8" s="416">
        <v>0</v>
      </c>
      <c r="I8" s="416">
        <v>0</v>
      </c>
      <c r="J8" s="971"/>
      <c r="K8" s="86"/>
      <c r="L8" s="456">
        <v>0</v>
      </c>
      <c r="M8" s="456">
        <v>0</v>
      </c>
      <c r="N8" s="1083"/>
      <c r="O8" s="86"/>
      <c r="P8" s="372">
        <f t="shared" si="2"/>
        <v>0</v>
      </c>
      <c r="Q8" s="372">
        <f t="shared" si="3"/>
        <v>0</v>
      </c>
      <c r="R8" s="981"/>
    </row>
    <row r="9" spans="2:18" ht="15.75" x14ac:dyDescent="0.25">
      <c r="B9" s="132">
        <f>B8+1</f>
        <v>3</v>
      </c>
      <c r="C9" s="21">
        <v>2</v>
      </c>
      <c r="D9" s="122" t="s">
        <v>157</v>
      </c>
      <c r="E9" s="22"/>
      <c r="F9" s="22"/>
      <c r="G9" s="194"/>
      <c r="H9" s="413">
        <f>H10+H14+H19</f>
        <v>150250</v>
      </c>
      <c r="I9" s="413">
        <f t="shared" ref="I9" si="4">I10+I14+I19</f>
        <v>128565</v>
      </c>
      <c r="J9" s="972">
        <f t="shared" ref="J9:J20" si="5">I9/H9*100</f>
        <v>85.567387687188017</v>
      </c>
      <c r="K9" s="110"/>
      <c r="L9" s="200">
        <f>L10+L13+L14+L19</f>
        <v>0</v>
      </c>
      <c r="M9" s="200">
        <f t="shared" ref="M9" si="6">M10+M13+M14+M19</f>
        <v>0</v>
      </c>
      <c r="N9" s="1084"/>
      <c r="O9" s="110"/>
      <c r="P9" s="373">
        <f t="shared" si="2"/>
        <v>150250</v>
      </c>
      <c r="Q9" s="373">
        <f t="shared" si="3"/>
        <v>128565</v>
      </c>
      <c r="R9" s="984">
        <f t="shared" ref="R9:R20" si="7">Q9/P9*100</f>
        <v>85.567387687188017</v>
      </c>
    </row>
    <row r="10" spans="2:18" x14ac:dyDescent="0.2">
      <c r="B10" s="132">
        <f t="shared" ref="B10:B20" si="8">B9+1</f>
        <v>4</v>
      </c>
      <c r="C10" s="74"/>
      <c r="D10" s="178" t="s">
        <v>4</v>
      </c>
      <c r="E10" s="232" t="s">
        <v>158</v>
      </c>
      <c r="F10" s="232"/>
      <c r="G10" s="233"/>
      <c r="H10" s="393">
        <f>H11+H12</f>
        <v>122500</v>
      </c>
      <c r="I10" s="393">
        <f t="shared" ref="I10" si="9">I11+I12</f>
        <v>101977</v>
      </c>
      <c r="J10" s="965">
        <f t="shared" si="5"/>
        <v>83.246530612244896</v>
      </c>
      <c r="K10" s="20"/>
      <c r="L10" s="473">
        <v>0</v>
      </c>
      <c r="M10" s="473">
        <v>0</v>
      </c>
      <c r="N10" s="1085"/>
      <c r="O10" s="20"/>
      <c r="P10" s="237">
        <f t="shared" si="2"/>
        <v>122500</v>
      </c>
      <c r="Q10" s="237">
        <f t="shared" si="3"/>
        <v>101977</v>
      </c>
      <c r="R10" s="982">
        <f t="shared" si="7"/>
        <v>83.246530612244896</v>
      </c>
    </row>
    <row r="11" spans="2:18" ht="12" customHeight="1" x14ac:dyDescent="0.2">
      <c r="B11" s="132">
        <f t="shared" si="8"/>
        <v>5</v>
      </c>
      <c r="C11" s="126"/>
      <c r="D11" s="126"/>
      <c r="E11" s="157" t="s">
        <v>258</v>
      </c>
      <c r="F11" s="157">
        <v>637</v>
      </c>
      <c r="G11" s="193" t="s">
        <v>502</v>
      </c>
      <c r="H11" s="570">
        <f>104000-6000</f>
        <v>98000</v>
      </c>
      <c r="I11" s="570">
        <v>79013</v>
      </c>
      <c r="J11" s="966">
        <f t="shared" si="5"/>
        <v>80.625510204081635</v>
      </c>
      <c r="K11" s="128"/>
      <c r="L11" s="139"/>
      <c r="M11" s="139"/>
      <c r="N11" s="1086"/>
      <c r="O11" s="128"/>
      <c r="P11" s="169">
        <f t="shared" si="2"/>
        <v>98000</v>
      </c>
      <c r="Q11" s="169">
        <f t="shared" si="3"/>
        <v>79013</v>
      </c>
      <c r="R11" s="986">
        <f t="shared" si="7"/>
        <v>80.625510204081635</v>
      </c>
    </row>
    <row r="12" spans="2:18" ht="12" customHeight="1" x14ac:dyDescent="0.2">
      <c r="B12" s="132">
        <f t="shared" si="8"/>
        <v>6</v>
      </c>
      <c r="C12" s="126"/>
      <c r="D12" s="126"/>
      <c r="E12" s="157" t="s">
        <v>258</v>
      </c>
      <c r="F12" s="157">
        <v>642</v>
      </c>
      <c r="G12" s="193" t="s">
        <v>303</v>
      </c>
      <c r="H12" s="570">
        <f>26000-1500</f>
        <v>24500</v>
      </c>
      <c r="I12" s="570">
        <v>22964</v>
      </c>
      <c r="J12" s="966">
        <f t="shared" si="5"/>
        <v>93.730612244897955</v>
      </c>
      <c r="K12" s="128"/>
      <c r="L12" s="139"/>
      <c r="M12" s="139"/>
      <c r="N12" s="1086"/>
      <c r="O12" s="128"/>
      <c r="P12" s="169">
        <f t="shared" si="2"/>
        <v>24500</v>
      </c>
      <c r="Q12" s="169">
        <f t="shared" si="3"/>
        <v>22964</v>
      </c>
      <c r="R12" s="986">
        <f t="shared" si="7"/>
        <v>93.730612244897955</v>
      </c>
    </row>
    <row r="13" spans="2:18" ht="12" customHeight="1" x14ac:dyDescent="0.2">
      <c r="B13" s="132">
        <f t="shared" si="8"/>
        <v>7</v>
      </c>
      <c r="C13" s="74"/>
      <c r="D13" s="178" t="s">
        <v>5</v>
      </c>
      <c r="E13" s="232" t="s">
        <v>151</v>
      </c>
      <c r="F13" s="232"/>
      <c r="G13" s="233"/>
      <c r="H13" s="393">
        <v>0</v>
      </c>
      <c r="I13" s="393">
        <v>0</v>
      </c>
      <c r="J13" s="965"/>
      <c r="K13" s="20"/>
      <c r="L13" s="473">
        <v>0</v>
      </c>
      <c r="M13" s="473">
        <v>0</v>
      </c>
      <c r="N13" s="1085"/>
      <c r="O13" s="20"/>
      <c r="P13" s="237">
        <f t="shared" si="2"/>
        <v>0</v>
      </c>
      <c r="Q13" s="237">
        <f t="shared" si="3"/>
        <v>0</v>
      </c>
      <c r="R13" s="982"/>
    </row>
    <row r="14" spans="2:18" ht="12" customHeight="1" x14ac:dyDescent="0.2">
      <c r="B14" s="132">
        <f t="shared" si="8"/>
        <v>8</v>
      </c>
      <c r="C14" s="74"/>
      <c r="D14" s="178" t="s">
        <v>6</v>
      </c>
      <c r="E14" s="232" t="s">
        <v>159</v>
      </c>
      <c r="F14" s="232"/>
      <c r="G14" s="233"/>
      <c r="H14" s="393">
        <f>SUM(H15:H18)</f>
        <v>27500</v>
      </c>
      <c r="I14" s="393">
        <f t="shared" ref="I14" si="10">SUM(I15:I18)</f>
        <v>26588</v>
      </c>
      <c r="J14" s="965">
        <f t="shared" si="5"/>
        <v>96.683636363636367</v>
      </c>
      <c r="K14" s="20"/>
      <c r="L14" s="473">
        <f>SUM(L15:L17)</f>
        <v>0</v>
      </c>
      <c r="M14" s="473">
        <f t="shared" ref="M14" si="11">SUM(M15:M17)</f>
        <v>0</v>
      </c>
      <c r="N14" s="1085"/>
      <c r="O14" s="20"/>
      <c r="P14" s="237">
        <f t="shared" si="2"/>
        <v>27500</v>
      </c>
      <c r="Q14" s="237">
        <f t="shared" si="3"/>
        <v>26588</v>
      </c>
      <c r="R14" s="982">
        <f t="shared" si="7"/>
        <v>96.683636363636367</v>
      </c>
    </row>
    <row r="15" spans="2:18" ht="12" customHeight="1" x14ac:dyDescent="0.2">
      <c r="B15" s="132">
        <f t="shared" si="8"/>
        <v>9</v>
      </c>
      <c r="C15" s="126"/>
      <c r="D15" s="126"/>
      <c r="E15" s="130" t="s">
        <v>431</v>
      </c>
      <c r="F15" s="157">
        <v>610</v>
      </c>
      <c r="G15" s="193" t="s">
        <v>257</v>
      </c>
      <c r="H15" s="398">
        <f>18600-500-1200</f>
        <v>16900</v>
      </c>
      <c r="I15" s="398">
        <v>16411</v>
      </c>
      <c r="J15" s="966">
        <f t="shared" si="5"/>
        <v>97.10650887573965</v>
      </c>
      <c r="K15" s="128"/>
      <c r="L15" s="139"/>
      <c r="M15" s="139"/>
      <c r="N15" s="1086"/>
      <c r="O15" s="128"/>
      <c r="P15" s="169">
        <f t="shared" si="2"/>
        <v>16900</v>
      </c>
      <c r="Q15" s="169">
        <f t="shared" si="3"/>
        <v>16411</v>
      </c>
      <c r="R15" s="986">
        <f t="shared" si="7"/>
        <v>97.10650887573965</v>
      </c>
    </row>
    <row r="16" spans="2:18" ht="12" customHeight="1" x14ac:dyDescent="0.2">
      <c r="B16" s="132">
        <f t="shared" si="8"/>
        <v>10</v>
      </c>
      <c r="C16" s="126"/>
      <c r="D16" s="126"/>
      <c r="E16" s="130" t="s">
        <v>431</v>
      </c>
      <c r="F16" s="157">
        <v>620</v>
      </c>
      <c r="G16" s="193" t="s">
        <v>259</v>
      </c>
      <c r="H16" s="398">
        <f>6700-310</f>
        <v>6390</v>
      </c>
      <c r="I16" s="398">
        <v>6042</v>
      </c>
      <c r="J16" s="966">
        <f t="shared" si="5"/>
        <v>94.55399061032864</v>
      </c>
      <c r="K16" s="128"/>
      <c r="L16" s="139"/>
      <c r="M16" s="139"/>
      <c r="N16" s="1086"/>
      <c r="O16" s="128"/>
      <c r="P16" s="169">
        <f t="shared" si="2"/>
        <v>6390</v>
      </c>
      <c r="Q16" s="169">
        <f t="shared" si="3"/>
        <v>6042</v>
      </c>
      <c r="R16" s="986">
        <f t="shared" si="7"/>
        <v>94.55399061032864</v>
      </c>
    </row>
    <row r="17" spans="2:18" ht="12" customHeight="1" x14ac:dyDescent="0.2">
      <c r="B17" s="132">
        <f t="shared" si="8"/>
        <v>11</v>
      </c>
      <c r="C17" s="126"/>
      <c r="D17" s="126"/>
      <c r="E17" s="130" t="s">
        <v>431</v>
      </c>
      <c r="F17" s="157">
        <v>630</v>
      </c>
      <c r="G17" s="193" t="s">
        <v>236</v>
      </c>
      <c r="H17" s="398">
        <f>2200+500+1200+200</f>
        <v>4100</v>
      </c>
      <c r="I17" s="398">
        <v>4078</v>
      </c>
      <c r="J17" s="966">
        <f t="shared" si="5"/>
        <v>99.463414634146346</v>
      </c>
      <c r="K17" s="128"/>
      <c r="L17" s="139"/>
      <c r="M17" s="139"/>
      <c r="N17" s="1086"/>
      <c r="O17" s="128"/>
      <c r="P17" s="169">
        <f t="shared" si="2"/>
        <v>4100</v>
      </c>
      <c r="Q17" s="169">
        <f t="shared" si="3"/>
        <v>4078</v>
      </c>
      <c r="R17" s="986">
        <f t="shared" si="7"/>
        <v>99.463414634146346</v>
      </c>
    </row>
    <row r="18" spans="2:18" ht="12" customHeight="1" x14ac:dyDescent="0.2">
      <c r="B18" s="132">
        <f t="shared" si="8"/>
        <v>12</v>
      </c>
      <c r="C18" s="126"/>
      <c r="D18" s="126"/>
      <c r="E18" s="130" t="s">
        <v>431</v>
      </c>
      <c r="F18" s="157">
        <v>640</v>
      </c>
      <c r="G18" s="193" t="s">
        <v>425</v>
      </c>
      <c r="H18" s="398">
        <v>110</v>
      </c>
      <c r="I18" s="398">
        <v>57</v>
      </c>
      <c r="J18" s="966">
        <f t="shared" si="5"/>
        <v>51.81818181818182</v>
      </c>
      <c r="K18" s="128"/>
      <c r="L18" s="139"/>
      <c r="M18" s="139"/>
      <c r="N18" s="1086"/>
      <c r="O18" s="128"/>
      <c r="P18" s="169">
        <f t="shared" ref="P18" si="12">H18+L18</f>
        <v>110</v>
      </c>
      <c r="Q18" s="169">
        <f t="shared" si="3"/>
        <v>57</v>
      </c>
      <c r="R18" s="986">
        <f t="shared" si="7"/>
        <v>51.81818181818182</v>
      </c>
    </row>
    <row r="19" spans="2:18" ht="12" customHeight="1" x14ac:dyDescent="0.2">
      <c r="B19" s="132">
        <f t="shared" si="8"/>
        <v>13</v>
      </c>
      <c r="C19" s="126"/>
      <c r="D19" s="178" t="s">
        <v>7</v>
      </c>
      <c r="E19" s="232" t="s">
        <v>160</v>
      </c>
      <c r="F19" s="232"/>
      <c r="G19" s="233"/>
      <c r="H19" s="393">
        <f>SUM(H20:H20)</f>
        <v>250</v>
      </c>
      <c r="I19" s="393">
        <f t="shared" ref="I19" si="13">SUM(I20:I20)</f>
        <v>0</v>
      </c>
      <c r="J19" s="965">
        <f t="shared" si="5"/>
        <v>0</v>
      </c>
      <c r="K19" s="163"/>
      <c r="L19" s="474">
        <f>SUM(L20:L20)</f>
        <v>0</v>
      </c>
      <c r="M19" s="474">
        <f t="shared" ref="M19" si="14">SUM(M20:M20)</f>
        <v>0</v>
      </c>
      <c r="N19" s="1087"/>
      <c r="O19" s="163"/>
      <c r="P19" s="236">
        <f t="shared" si="2"/>
        <v>250</v>
      </c>
      <c r="Q19" s="236">
        <f t="shared" si="3"/>
        <v>0</v>
      </c>
      <c r="R19" s="1001">
        <f t="shared" si="7"/>
        <v>0</v>
      </c>
    </row>
    <row r="20" spans="2:18" ht="12" customHeight="1" thickBot="1" x14ac:dyDescent="0.25">
      <c r="B20" s="132">
        <f t="shared" si="8"/>
        <v>14</v>
      </c>
      <c r="C20" s="350"/>
      <c r="D20" s="708"/>
      <c r="E20" s="709" t="s">
        <v>241</v>
      </c>
      <c r="F20" s="710">
        <v>637</v>
      </c>
      <c r="G20" s="355" t="s">
        <v>535</v>
      </c>
      <c r="H20" s="384">
        <v>250</v>
      </c>
      <c r="I20" s="384">
        <v>0</v>
      </c>
      <c r="J20" s="991">
        <f t="shared" si="5"/>
        <v>0</v>
      </c>
      <c r="K20" s="711"/>
      <c r="L20" s="140"/>
      <c r="M20" s="140"/>
      <c r="N20" s="1088"/>
      <c r="O20" s="711"/>
      <c r="P20" s="216">
        <f t="shared" si="2"/>
        <v>250</v>
      </c>
      <c r="Q20" s="216">
        <f t="shared" si="3"/>
        <v>0</v>
      </c>
      <c r="R20" s="993">
        <f t="shared" si="7"/>
        <v>0</v>
      </c>
    </row>
    <row r="21" spans="2:18" ht="15" customHeight="1" x14ac:dyDescent="0.2"/>
  </sheetData>
  <mergeCells count="14">
    <mergeCell ref="Q4:Q6"/>
    <mergeCell ref="R4:R6"/>
    <mergeCell ref="I5:I6"/>
    <mergeCell ref="J5:J6"/>
    <mergeCell ref="M5:M6"/>
    <mergeCell ref="N5:N6"/>
    <mergeCell ref="B4:N4"/>
    <mergeCell ref="P4:P6"/>
    <mergeCell ref="C5:C6"/>
    <mergeCell ref="D5:D6"/>
    <mergeCell ref="E5:E6"/>
    <mergeCell ref="F5:F6"/>
    <mergeCell ref="H5:H6"/>
    <mergeCell ref="L5:L6"/>
  </mergeCells>
  <pageMargins left="0.56999999999999995" right="0.4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FFFF00"/>
  </sheetPr>
  <dimension ref="A1:M63"/>
  <sheetViews>
    <sheetView zoomScale="95" zoomScaleNormal="95" zoomScaleSheetLayoutView="100" workbookViewId="0"/>
  </sheetViews>
  <sheetFormatPr defaultRowHeight="12.75" x14ac:dyDescent="0.2"/>
  <cols>
    <col min="1" max="1" width="10" customWidth="1"/>
    <col min="2" max="2" width="3.85546875" customWidth="1"/>
    <col min="3" max="3" width="43.140625" customWidth="1"/>
    <col min="4" max="4" width="12.42578125" customWidth="1"/>
    <col min="5" max="5" width="13.5703125" customWidth="1"/>
    <col min="6" max="6" width="7.5703125" customWidth="1"/>
    <col min="7" max="7" width="12.140625" customWidth="1"/>
    <col min="8" max="8" width="12.5703125" customWidth="1"/>
    <col min="9" max="9" width="7.42578125" customWidth="1"/>
    <col min="10" max="10" width="13.28515625" customWidth="1"/>
    <col min="11" max="11" width="14.7109375" customWidth="1"/>
    <col min="12" max="12" width="8.7109375" customWidth="1"/>
    <col min="13" max="13" width="10.7109375" bestFit="1" customWidth="1"/>
  </cols>
  <sheetData>
    <row r="1" spans="2:13" ht="54" customHeight="1" thickBot="1" x14ac:dyDescent="0.55000000000000004">
      <c r="B1" s="1160" t="s">
        <v>189</v>
      </c>
      <c r="C1" s="1160"/>
      <c r="D1" s="1160"/>
      <c r="E1" s="1160"/>
      <c r="F1" s="1160"/>
      <c r="G1" s="1160"/>
      <c r="H1" s="1160"/>
      <c r="I1" s="1160"/>
      <c r="J1" s="1160"/>
    </row>
    <row r="2" spans="2:13" ht="46.5" customHeight="1" thickBot="1" x14ac:dyDescent="0.25">
      <c r="B2" s="1158"/>
      <c r="C2" s="1159"/>
      <c r="D2" s="884" t="s">
        <v>717</v>
      </c>
      <c r="E2" s="885" t="s">
        <v>903</v>
      </c>
      <c r="F2" s="886" t="s">
        <v>887</v>
      </c>
      <c r="G2" s="901" t="s">
        <v>718</v>
      </c>
      <c r="H2" s="902" t="s">
        <v>905</v>
      </c>
      <c r="I2" s="903" t="s">
        <v>887</v>
      </c>
      <c r="J2" s="915" t="s">
        <v>716</v>
      </c>
      <c r="K2" s="915" t="s">
        <v>906</v>
      </c>
      <c r="L2" s="915" t="s">
        <v>887</v>
      </c>
    </row>
    <row r="3" spans="2:13" ht="16.5" thickTop="1" x14ac:dyDescent="0.25">
      <c r="B3" s="465">
        <v>1</v>
      </c>
      <c r="C3" s="466" t="s">
        <v>171</v>
      </c>
      <c r="D3" s="887">
        <f>Príjmy!H289</f>
        <v>32911616</v>
      </c>
      <c r="E3" s="888">
        <f>Príjmy!I289</f>
        <v>34189884.850000001</v>
      </c>
      <c r="F3" s="1050">
        <f>E3/D3*100</f>
        <v>103.88394434961808</v>
      </c>
      <c r="G3" s="904">
        <f>Príjmy!H311</f>
        <v>1017283</v>
      </c>
      <c r="H3" s="905">
        <f>Príjmy!I311</f>
        <v>1807029</v>
      </c>
      <c r="I3" s="1057">
        <f>H3/G3*100</f>
        <v>177.63287108896935</v>
      </c>
      <c r="J3" s="916">
        <f>D3+G3</f>
        <v>33928899</v>
      </c>
      <c r="K3" s="916">
        <f t="shared" ref="K3:K4" si="0">E3+H3</f>
        <v>35996913.850000001</v>
      </c>
      <c r="L3" s="1062">
        <f>K3/J3*100</f>
        <v>106.09514281615799</v>
      </c>
      <c r="M3" s="17"/>
    </row>
    <row r="4" spans="2:13" ht="15.75" x14ac:dyDescent="0.25">
      <c r="B4" s="467">
        <f>B3+1</f>
        <v>2</v>
      </c>
      <c r="C4" s="468" t="s">
        <v>172</v>
      </c>
      <c r="D4" s="889">
        <f>SUM(D6:D17)</f>
        <v>29707759</v>
      </c>
      <c r="E4" s="890">
        <f>SUM(E6:E17)</f>
        <v>28821227.969999999</v>
      </c>
      <c r="F4" s="1054">
        <f t="shared" ref="F4:F18" si="1">E4/D4*100</f>
        <v>97.015826639767738</v>
      </c>
      <c r="G4" s="906">
        <f>SUM(G6:G17)</f>
        <v>2989739</v>
      </c>
      <c r="H4" s="1049">
        <f>SUM(H6:H17)</f>
        <v>1771391</v>
      </c>
      <c r="I4" s="1057">
        <f>H4/G4*100</f>
        <v>59.249018058098045</v>
      </c>
      <c r="J4" s="916">
        <f>D4+G4</f>
        <v>32697498</v>
      </c>
      <c r="K4" s="916">
        <f t="shared" si="0"/>
        <v>30592618.969999999</v>
      </c>
      <c r="L4" s="1062">
        <f t="shared" ref="L4:L17" si="2">K4/J4*100</f>
        <v>93.56256851823953</v>
      </c>
      <c r="M4" s="17"/>
    </row>
    <row r="5" spans="2:13" ht="10.5" customHeight="1" x14ac:dyDescent="0.25">
      <c r="B5" s="223">
        <f>B4+1</f>
        <v>3</v>
      </c>
      <c r="C5" s="410"/>
      <c r="D5" s="891"/>
      <c r="E5" s="892"/>
      <c r="F5" s="1055"/>
      <c r="G5" s="907"/>
      <c r="H5" s="908"/>
      <c r="I5" s="1058"/>
      <c r="J5" s="917"/>
      <c r="K5" s="917"/>
      <c r="L5" s="1061"/>
    </row>
    <row r="6" spans="2:13" ht="15" customHeight="1" x14ac:dyDescent="0.25">
      <c r="B6" s="223">
        <f>B5+1</f>
        <v>4</v>
      </c>
      <c r="C6" s="470" t="s">
        <v>551</v>
      </c>
      <c r="D6" s="893">
        <f>'P1'!H5</f>
        <v>385747</v>
      </c>
      <c r="E6" s="894">
        <f>'P1'!I5</f>
        <v>318115.96999999997</v>
      </c>
      <c r="F6" s="1055">
        <f t="shared" si="1"/>
        <v>82.467516273619751</v>
      </c>
      <c r="G6" s="907">
        <f>'P1'!L5</f>
        <v>126554</v>
      </c>
      <c r="H6" s="908">
        <f>'P1'!M5</f>
        <v>16452</v>
      </c>
      <c r="I6" s="1058">
        <f t="shared" ref="I6:I20" si="3">H6/G6*100</f>
        <v>12.999984196469491</v>
      </c>
      <c r="J6" s="918">
        <f t="shared" ref="J6:J17" si="4">D6+G6</f>
        <v>512301</v>
      </c>
      <c r="K6" s="918">
        <f t="shared" ref="K6:K17" si="5">E6+H6</f>
        <v>334567.96999999997</v>
      </c>
      <c r="L6" s="1061">
        <f t="shared" si="2"/>
        <v>65.30691331853734</v>
      </c>
    </row>
    <row r="7" spans="2:13" ht="15" x14ac:dyDescent="0.25">
      <c r="B7" s="223">
        <f t="shared" ref="B7:B21" si="6">B6+1</f>
        <v>5</v>
      </c>
      <c r="C7" s="471" t="s">
        <v>552</v>
      </c>
      <c r="D7" s="893">
        <f>'P2'!H6</f>
        <v>70258</v>
      </c>
      <c r="E7" s="894">
        <f>'P2'!I6</f>
        <v>60042</v>
      </c>
      <c r="F7" s="1055">
        <f t="shared" si="1"/>
        <v>85.459307125167243</v>
      </c>
      <c r="G7" s="907">
        <f>'P2'!L6</f>
        <v>0</v>
      </c>
      <c r="H7" s="908">
        <v>0</v>
      </c>
      <c r="I7" s="1058"/>
      <c r="J7" s="918">
        <f>D7+G7</f>
        <v>70258</v>
      </c>
      <c r="K7" s="918">
        <f t="shared" si="5"/>
        <v>60042</v>
      </c>
      <c r="L7" s="1061">
        <f t="shared" si="2"/>
        <v>85.459307125167243</v>
      </c>
    </row>
    <row r="8" spans="2:13" ht="15" x14ac:dyDescent="0.25">
      <c r="B8" s="223">
        <f t="shared" si="6"/>
        <v>6</v>
      </c>
      <c r="C8" s="471" t="s">
        <v>553</v>
      </c>
      <c r="D8" s="893">
        <f>'P3'!H6</f>
        <v>3467953</v>
      </c>
      <c r="E8" s="894">
        <f>'P3'!I6</f>
        <v>3120311</v>
      </c>
      <c r="F8" s="1055">
        <f t="shared" si="1"/>
        <v>89.975585020904262</v>
      </c>
      <c r="G8" s="907">
        <f>'P3'!L6</f>
        <v>431616</v>
      </c>
      <c r="H8" s="908">
        <f>'P3'!M6</f>
        <v>312248</v>
      </c>
      <c r="I8" s="1058">
        <f t="shared" si="3"/>
        <v>72.343935349940693</v>
      </c>
      <c r="J8" s="918">
        <f t="shared" si="4"/>
        <v>3899569</v>
      </c>
      <c r="K8" s="918">
        <f t="shared" si="5"/>
        <v>3432559</v>
      </c>
      <c r="L8" s="1061">
        <f t="shared" si="2"/>
        <v>88.024061120600763</v>
      </c>
    </row>
    <row r="9" spans="2:13" ht="15" x14ac:dyDescent="0.25">
      <c r="B9" s="223">
        <f t="shared" si="6"/>
        <v>7</v>
      </c>
      <c r="C9" s="471" t="s">
        <v>554</v>
      </c>
      <c r="D9" s="893">
        <f>'P4'!H6</f>
        <v>471589</v>
      </c>
      <c r="E9" s="894">
        <f>'P4'!I6</f>
        <v>432390</v>
      </c>
      <c r="F9" s="1055">
        <f t="shared" si="1"/>
        <v>91.687889242539583</v>
      </c>
      <c r="G9" s="907">
        <f>'P4'!L6</f>
        <v>126635</v>
      </c>
      <c r="H9" s="908">
        <f>'P4'!M6</f>
        <v>102687</v>
      </c>
      <c r="I9" s="1058">
        <f t="shared" si="3"/>
        <v>81.088956449638729</v>
      </c>
      <c r="J9" s="918">
        <f t="shared" si="4"/>
        <v>598224</v>
      </c>
      <c r="K9" s="918">
        <f t="shared" si="5"/>
        <v>535077</v>
      </c>
      <c r="L9" s="1061">
        <f t="shared" si="2"/>
        <v>89.444254994784572</v>
      </c>
    </row>
    <row r="10" spans="2:13" ht="15" x14ac:dyDescent="0.25">
      <c r="B10" s="223">
        <f t="shared" si="6"/>
        <v>8</v>
      </c>
      <c r="C10" s="471" t="s">
        <v>555</v>
      </c>
      <c r="D10" s="893">
        <f>'P5'!H5</f>
        <v>1645347</v>
      </c>
      <c r="E10" s="894">
        <f>'P5'!I5</f>
        <v>1566213</v>
      </c>
      <c r="F10" s="1055">
        <f t="shared" si="1"/>
        <v>95.190437032431447</v>
      </c>
      <c r="G10" s="907">
        <f>'P5'!L5</f>
        <v>349241</v>
      </c>
      <c r="H10" s="908">
        <f>'P5'!M5</f>
        <v>343635</v>
      </c>
      <c r="I10" s="1058">
        <f t="shared" si="3"/>
        <v>98.394804733693931</v>
      </c>
      <c r="J10" s="918">
        <f t="shared" si="4"/>
        <v>1994588</v>
      </c>
      <c r="K10" s="918">
        <f t="shared" si="5"/>
        <v>1909848</v>
      </c>
      <c r="L10" s="1061">
        <f t="shared" si="2"/>
        <v>95.751503568656787</v>
      </c>
    </row>
    <row r="11" spans="2:13" ht="15" x14ac:dyDescent="0.25">
      <c r="B11" s="223">
        <f t="shared" si="6"/>
        <v>9</v>
      </c>
      <c r="C11" s="471" t="s">
        <v>556</v>
      </c>
      <c r="D11" s="893">
        <f>'P6'!H6</f>
        <v>3369096</v>
      </c>
      <c r="E11" s="894">
        <f>'P6'!I6</f>
        <v>3338828</v>
      </c>
      <c r="F11" s="1055">
        <f t="shared" si="1"/>
        <v>99.101598767147038</v>
      </c>
      <c r="G11" s="907">
        <f>'P6'!L6</f>
        <v>1339802</v>
      </c>
      <c r="H11" s="908">
        <f>'P6'!M6</f>
        <v>453362</v>
      </c>
      <c r="I11" s="1058">
        <f t="shared" si="3"/>
        <v>33.837985015696347</v>
      </c>
      <c r="J11" s="918">
        <f t="shared" si="4"/>
        <v>4708898</v>
      </c>
      <c r="K11" s="918">
        <f t="shared" si="5"/>
        <v>3792190</v>
      </c>
      <c r="L11" s="1061">
        <f t="shared" si="2"/>
        <v>80.532430305349578</v>
      </c>
    </row>
    <row r="12" spans="2:13" ht="15" x14ac:dyDescent="0.25">
      <c r="B12" s="223">
        <f t="shared" si="6"/>
        <v>10</v>
      </c>
      <c r="C12" s="471" t="s">
        <v>557</v>
      </c>
      <c r="D12" s="893">
        <f>'P7'!H6</f>
        <v>12628749</v>
      </c>
      <c r="E12" s="894">
        <f>'P7'!I6</f>
        <v>12599433</v>
      </c>
      <c r="F12" s="1055">
        <f t="shared" si="1"/>
        <v>99.767862992605203</v>
      </c>
      <c r="G12" s="907">
        <f>'P7'!L6</f>
        <v>359086</v>
      </c>
      <c r="H12" s="908">
        <f>'P7'!M6</f>
        <v>307630</v>
      </c>
      <c r="I12" s="1058">
        <f t="shared" si="3"/>
        <v>85.670285112758506</v>
      </c>
      <c r="J12" s="918">
        <f t="shared" si="4"/>
        <v>12987835</v>
      </c>
      <c r="K12" s="918">
        <f t="shared" si="5"/>
        <v>12907063</v>
      </c>
      <c r="L12" s="1061">
        <f t="shared" si="2"/>
        <v>99.378094963479285</v>
      </c>
    </row>
    <row r="13" spans="2:13" ht="15" x14ac:dyDescent="0.25">
      <c r="B13" s="223">
        <f t="shared" si="6"/>
        <v>11</v>
      </c>
      <c r="C13" s="471" t="s">
        <v>596</v>
      </c>
      <c r="D13" s="893">
        <f>'P8'!H5</f>
        <v>1326836</v>
      </c>
      <c r="E13" s="894">
        <f>'P8'!I5</f>
        <v>1286437</v>
      </c>
      <c r="F13" s="1055">
        <f t="shared" si="1"/>
        <v>96.955237874160787</v>
      </c>
      <c r="G13" s="907">
        <f>'P8'!L5</f>
        <v>70600</v>
      </c>
      <c r="H13" s="908">
        <f>'P8'!M5</f>
        <v>51586</v>
      </c>
      <c r="I13" s="1058">
        <f t="shared" si="3"/>
        <v>73.067988668555245</v>
      </c>
      <c r="J13" s="918">
        <f t="shared" si="4"/>
        <v>1397436</v>
      </c>
      <c r="K13" s="918">
        <f t="shared" si="5"/>
        <v>1338023</v>
      </c>
      <c r="L13" s="1061">
        <f t="shared" si="2"/>
        <v>95.748427834977775</v>
      </c>
    </row>
    <row r="14" spans="2:13" ht="15" x14ac:dyDescent="0.25">
      <c r="B14" s="223">
        <f t="shared" si="6"/>
        <v>12</v>
      </c>
      <c r="C14" s="471" t="s">
        <v>558</v>
      </c>
      <c r="D14" s="893">
        <f>'P9'!H6</f>
        <v>321150</v>
      </c>
      <c r="E14" s="894">
        <f>'P9'!I6</f>
        <v>289537</v>
      </c>
      <c r="F14" s="1055">
        <f t="shared" si="1"/>
        <v>90.156313249260464</v>
      </c>
      <c r="G14" s="907">
        <f>'P9'!L6</f>
        <v>21520</v>
      </c>
      <c r="H14" s="908">
        <f>'P9'!M6</f>
        <v>21325</v>
      </c>
      <c r="I14" s="1058">
        <f t="shared" si="3"/>
        <v>99.093866171003725</v>
      </c>
      <c r="J14" s="918">
        <f t="shared" si="4"/>
        <v>342670</v>
      </c>
      <c r="K14" s="918">
        <f t="shared" si="5"/>
        <v>310862</v>
      </c>
      <c r="L14" s="1061">
        <f t="shared" si="2"/>
        <v>90.71760002334608</v>
      </c>
    </row>
    <row r="15" spans="2:13" ht="15" x14ac:dyDescent="0.25">
      <c r="B15" s="223">
        <f t="shared" si="6"/>
        <v>13</v>
      </c>
      <c r="C15" s="471" t="s">
        <v>559</v>
      </c>
      <c r="D15" s="893">
        <f>'P10'!H7</f>
        <v>3819489</v>
      </c>
      <c r="E15" s="894">
        <f>'P10'!I7</f>
        <v>3674043</v>
      </c>
      <c r="F15" s="1055">
        <f t="shared" si="1"/>
        <v>96.192003694735078</v>
      </c>
      <c r="G15" s="907">
        <f>'P10'!L7</f>
        <v>164685</v>
      </c>
      <c r="H15" s="908">
        <f>'P10'!M7</f>
        <v>162466</v>
      </c>
      <c r="I15" s="1058">
        <f t="shared" si="3"/>
        <v>98.652579166287154</v>
      </c>
      <c r="J15" s="918">
        <f t="shared" si="4"/>
        <v>3984174</v>
      </c>
      <c r="K15" s="918">
        <f t="shared" si="5"/>
        <v>3836509</v>
      </c>
      <c r="L15" s="1061">
        <f t="shared" si="2"/>
        <v>96.293711067839908</v>
      </c>
    </row>
    <row r="16" spans="2:13" ht="15" x14ac:dyDescent="0.25">
      <c r="B16" s="223">
        <f t="shared" si="6"/>
        <v>14</v>
      </c>
      <c r="C16" s="471" t="s">
        <v>560</v>
      </c>
      <c r="D16" s="893">
        <f>'P11'!H6</f>
        <v>2051295</v>
      </c>
      <c r="E16" s="894">
        <f>'P11'!I6</f>
        <v>2007313</v>
      </c>
      <c r="F16" s="1055">
        <f t="shared" si="1"/>
        <v>97.855891034687843</v>
      </c>
      <c r="G16" s="907">
        <f>'P11'!L6</f>
        <v>0</v>
      </c>
      <c r="H16" s="908">
        <f>'P11'!M6</f>
        <v>0</v>
      </c>
      <c r="I16" s="1058"/>
      <c r="J16" s="918">
        <f t="shared" si="4"/>
        <v>2051295</v>
      </c>
      <c r="K16" s="918">
        <f t="shared" si="5"/>
        <v>2007313</v>
      </c>
      <c r="L16" s="1061">
        <f t="shared" si="2"/>
        <v>97.855891034687843</v>
      </c>
    </row>
    <row r="17" spans="1:13" ht="15" x14ac:dyDescent="0.25">
      <c r="B17" s="223">
        <f t="shared" si="6"/>
        <v>15</v>
      </c>
      <c r="C17" s="471" t="s">
        <v>561</v>
      </c>
      <c r="D17" s="893">
        <f>'P12'!H7</f>
        <v>150250</v>
      </c>
      <c r="E17" s="894">
        <f>'P12'!I7</f>
        <v>128565</v>
      </c>
      <c r="F17" s="1055">
        <f t="shared" si="1"/>
        <v>85.567387687188017</v>
      </c>
      <c r="G17" s="907">
        <f>'P12'!L7</f>
        <v>0</v>
      </c>
      <c r="H17" s="908">
        <f>'P12'!M7</f>
        <v>0</v>
      </c>
      <c r="I17" s="1058"/>
      <c r="J17" s="918">
        <f t="shared" si="4"/>
        <v>150250</v>
      </c>
      <c r="K17" s="918">
        <f t="shared" si="5"/>
        <v>128565</v>
      </c>
      <c r="L17" s="1061">
        <f t="shared" si="2"/>
        <v>85.567387687188017</v>
      </c>
    </row>
    <row r="18" spans="1:13" ht="10.5" customHeight="1" x14ac:dyDescent="0.25">
      <c r="B18" s="223">
        <f t="shared" si="6"/>
        <v>16</v>
      </c>
      <c r="C18" s="1156" t="s">
        <v>192</v>
      </c>
      <c r="D18" s="1167">
        <f>D3-D4</f>
        <v>3203857</v>
      </c>
      <c r="E18" s="1169">
        <f>E3-E4</f>
        <v>5368656.8800000027</v>
      </c>
      <c r="F18" s="1173">
        <f t="shared" si="1"/>
        <v>167.56855502602028</v>
      </c>
      <c r="G18" s="909"/>
      <c r="H18" s="910"/>
      <c r="I18" s="1059"/>
      <c r="J18" s="1145"/>
      <c r="K18" s="1145"/>
      <c r="L18" s="1147"/>
    </row>
    <row r="19" spans="1:13" ht="6" customHeight="1" x14ac:dyDescent="0.25">
      <c r="B19" s="223">
        <f t="shared" si="6"/>
        <v>17</v>
      </c>
      <c r="C19" s="1157"/>
      <c r="D19" s="1168"/>
      <c r="E19" s="1170"/>
      <c r="F19" s="1174"/>
      <c r="G19" s="911"/>
      <c r="H19" s="912"/>
      <c r="I19" s="1060"/>
      <c r="J19" s="1146"/>
      <c r="K19" s="1146"/>
      <c r="L19" s="1148"/>
    </row>
    <row r="20" spans="1:13" ht="6" customHeight="1" x14ac:dyDescent="0.25">
      <c r="B20" s="223">
        <f t="shared" si="6"/>
        <v>18</v>
      </c>
      <c r="C20" s="1163" t="s">
        <v>569</v>
      </c>
      <c r="D20" s="895"/>
      <c r="E20" s="896"/>
      <c r="F20" s="1051"/>
      <c r="G20" s="1161">
        <f>G3-G4</f>
        <v>-1972456</v>
      </c>
      <c r="H20" s="1171">
        <f>H3-H4</f>
        <v>35638</v>
      </c>
      <c r="I20" s="1175">
        <f t="shared" si="3"/>
        <v>-1.8067830156921119</v>
      </c>
      <c r="J20" s="1149"/>
      <c r="K20" s="1149"/>
      <c r="L20" s="1151"/>
    </row>
    <row r="21" spans="1:13" ht="10.5" customHeight="1" x14ac:dyDescent="0.25">
      <c r="B21" s="223">
        <f t="shared" si="6"/>
        <v>19</v>
      </c>
      <c r="C21" s="1164"/>
      <c r="D21" s="897"/>
      <c r="E21" s="898"/>
      <c r="F21" s="1052"/>
      <c r="G21" s="1162"/>
      <c r="H21" s="1172"/>
      <c r="I21" s="1176"/>
      <c r="J21" s="1150"/>
      <c r="K21" s="1150"/>
      <c r="L21" s="1152"/>
    </row>
    <row r="22" spans="1:13" ht="16.5" customHeight="1" thickBot="1" x14ac:dyDescent="0.3">
      <c r="A22" s="19"/>
      <c r="B22" s="224">
        <f>B21+1</f>
        <v>20</v>
      </c>
      <c r="C22" s="464" t="s">
        <v>570</v>
      </c>
      <c r="D22" s="899"/>
      <c r="E22" s="900"/>
      <c r="F22" s="1053"/>
      <c r="G22" s="913"/>
      <c r="H22" s="914"/>
      <c r="I22" s="1056"/>
      <c r="J22" s="919">
        <f>J3-J4</f>
        <v>1231401</v>
      </c>
      <c r="K22" s="919">
        <f t="shared" ref="K22" si="7">K3-K4</f>
        <v>5404294.8800000027</v>
      </c>
      <c r="L22" s="1063">
        <f>K22/J22*100</f>
        <v>438.87367965431264</v>
      </c>
    </row>
    <row r="23" spans="1:13" s="19" customFormat="1" ht="5.25" customHeight="1" thickBot="1" x14ac:dyDescent="0.25">
      <c r="A23" s="25"/>
      <c r="B23" s="618"/>
      <c r="C23" s="274"/>
      <c r="D23" s="275"/>
      <c r="E23" s="275"/>
      <c r="F23" s="275"/>
      <c r="G23" s="275"/>
      <c r="H23" s="275"/>
      <c r="I23" s="275"/>
      <c r="J23" s="920"/>
      <c r="K23" s="920"/>
      <c r="L23" s="920"/>
    </row>
    <row r="24" spans="1:13" ht="16.5" customHeight="1" thickBot="1" x14ac:dyDescent="0.25">
      <c r="A24" s="19"/>
      <c r="B24" s="1153" t="s">
        <v>549</v>
      </c>
      <c r="C24" s="1154"/>
      <c r="D24" s="1154"/>
      <c r="E24" s="1154"/>
      <c r="F24" s="1154"/>
      <c r="G24" s="1154"/>
      <c r="H24" s="1154"/>
      <c r="I24" s="1154"/>
      <c r="J24" s="1154"/>
      <c r="K24" s="1154"/>
      <c r="L24" s="1155"/>
    </row>
    <row r="25" spans="1:13" ht="14.25" customHeight="1" thickTop="1" x14ac:dyDescent="0.25">
      <c r="A25" s="19"/>
      <c r="B25" s="469">
        <f>B22+1</f>
        <v>21</v>
      </c>
      <c r="C25" s="613" t="s">
        <v>196</v>
      </c>
      <c r="D25" s="614"/>
      <c r="E25" s="614"/>
      <c r="F25" s="614"/>
      <c r="G25" s="614"/>
      <c r="H25" s="614"/>
      <c r="I25" s="614"/>
      <c r="J25" s="872">
        <f>SUM(J26:J29)</f>
        <v>5555683</v>
      </c>
      <c r="K25" s="878">
        <f>SUM(K26:K30)</f>
        <v>5357129</v>
      </c>
      <c r="L25" s="1064">
        <f>K25/J25*100</f>
        <v>96.426109985036945</v>
      </c>
      <c r="M25" s="17"/>
    </row>
    <row r="26" spans="1:13" ht="14.25" customHeight="1" x14ac:dyDescent="0.25">
      <c r="A26" s="19"/>
      <c r="B26" s="422">
        <f>B25+1</f>
        <v>22</v>
      </c>
      <c r="C26" s="423" t="s">
        <v>708</v>
      </c>
      <c r="D26" s="424"/>
      <c r="E26" s="424"/>
      <c r="F26" s="424"/>
      <c r="G26" s="424"/>
      <c r="H26" s="424"/>
      <c r="I26" s="424"/>
      <c r="J26" s="873">
        <f>2600000-600000</f>
        <v>2000000</v>
      </c>
      <c r="K26" s="879">
        <v>1800000</v>
      </c>
      <c r="L26" s="1065">
        <f t="shared" ref="L26:L43" si="8">K26/J26*100</f>
        <v>90</v>
      </c>
      <c r="M26" s="17"/>
    </row>
    <row r="27" spans="1:13" ht="14.25" customHeight="1" x14ac:dyDescent="0.25">
      <c r="A27" s="19"/>
      <c r="B27" s="422">
        <f>B26+1</f>
        <v>23</v>
      </c>
      <c r="C27" s="423" t="s">
        <v>634</v>
      </c>
      <c r="D27" s="424"/>
      <c r="E27" s="424"/>
      <c r="F27" s="424"/>
      <c r="G27" s="424"/>
      <c r="H27" s="424"/>
      <c r="I27" s="424"/>
      <c r="J27" s="874">
        <f>1000000+111189</f>
        <v>1111189</v>
      </c>
      <c r="K27" s="880">
        <v>1111189</v>
      </c>
      <c r="L27" s="1066">
        <f t="shared" si="8"/>
        <v>100</v>
      </c>
    </row>
    <row r="28" spans="1:13" ht="14.25" customHeight="1" x14ac:dyDescent="0.25">
      <c r="A28" s="19"/>
      <c r="B28" s="422">
        <f t="shared" ref="B28:B29" si="9">B27+1</f>
        <v>24</v>
      </c>
      <c r="C28" s="423" t="s">
        <v>794</v>
      </c>
      <c r="D28" s="424"/>
      <c r="E28" s="424"/>
      <c r="F28" s="424"/>
      <c r="G28" s="424"/>
      <c r="H28" s="424"/>
      <c r="I28" s="424"/>
      <c r="J28" s="874">
        <v>43025</v>
      </c>
      <c r="K28" s="880">
        <v>43025</v>
      </c>
      <c r="L28" s="1066">
        <f t="shared" si="8"/>
        <v>100</v>
      </c>
    </row>
    <row r="29" spans="1:13" ht="14.25" customHeight="1" x14ac:dyDescent="0.25">
      <c r="A29" s="19"/>
      <c r="B29" s="422">
        <f t="shared" si="9"/>
        <v>25</v>
      </c>
      <c r="C29" s="423" t="s">
        <v>795</v>
      </c>
      <c r="D29" s="424"/>
      <c r="E29" s="424"/>
      <c r="F29" s="424"/>
      <c r="G29" s="424"/>
      <c r="H29" s="424"/>
      <c r="I29" s="424"/>
      <c r="J29" s="874">
        <v>2401469</v>
      </c>
      <c r="K29" s="880">
        <v>2401469</v>
      </c>
      <c r="L29" s="1066">
        <f t="shared" si="8"/>
        <v>100</v>
      </c>
    </row>
    <row r="30" spans="1:13" ht="14.25" customHeight="1" x14ac:dyDescent="0.25">
      <c r="A30" s="19"/>
      <c r="B30" s="422">
        <v>26</v>
      </c>
      <c r="C30" s="423" t="s">
        <v>910</v>
      </c>
      <c r="D30" s="424"/>
      <c r="E30" s="424"/>
      <c r="F30" s="424"/>
      <c r="G30" s="424"/>
      <c r="H30" s="424"/>
      <c r="I30" s="424"/>
      <c r="J30" s="874"/>
      <c r="K30" s="880">
        <v>1446</v>
      </c>
      <c r="L30" s="1066">
        <v>0</v>
      </c>
    </row>
    <row r="31" spans="1:13" ht="15.75" customHeight="1" x14ac:dyDescent="0.25">
      <c r="A31" s="19"/>
      <c r="B31" s="469">
        <v>27</v>
      </c>
      <c r="C31" s="613" t="s">
        <v>197</v>
      </c>
      <c r="D31" s="614"/>
      <c r="E31" s="614"/>
      <c r="F31" s="614"/>
      <c r="G31" s="614"/>
      <c r="H31" s="614"/>
      <c r="I31" s="614"/>
      <c r="J31" s="875">
        <f>J32+J37+J38</f>
        <v>6787084</v>
      </c>
      <c r="K31" s="881">
        <f t="shared" ref="K31" si="10">K32+K37+K38</f>
        <v>6785773</v>
      </c>
      <c r="L31" s="1067">
        <f t="shared" si="8"/>
        <v>99.980683899005811</v>
      </c>
      <c r="M31" s="17"/>
    </row>
    <row r="32" spans="1:13" ht="14.25" customHeight="1" x14ac:dyDescent="0.25">
      <c r="A32" s="19"/>
      <c r="B32" s="221">
        <f t="shared" ref="B32:B43" si="11">B31+1</f>
        <v>28</v>
      </c>
      <c r="C32" s="124" t="s">
        <v>194</v>
      </c>
      <c r="D32" s="125"/>
      <c r="E32" s="125"/>
      <c r="F32" s="125"/>
      <c r="G32" s="125"/>
      <c r="H32" s="125"/>
      <c r="I32" s="125"/>
      <c r="J32" s="874">
        <f>SUM(J33:J36)</f>
        <v>4301789</v>
      </c>
      <c r="K32" s="880">
        <f t="shared" ref="K32" si="12">SUM(K33:K36)</f>
        <v>4301785</v>
      </c>
      <c r="L32" s="1066">
        <f t="shared" si="8"/>
        <v>99.999907015430097</v>
      </c>
    </row>
    <row r="33" spans="1:12" ht="13.5" customHeight="1" x14ac:dyDescent="0.2">
      <c r="A33" s="19"/>
      <c r="B33" s="222">
        <f t="shared" si="11"/>
        <v>29</v>
      </c>
      <c r="C33" s="615" t="s">
        <v>198</v>
      </c>
      <c r="D33" s="114"/>
      <c r="E33" s="114"/>
      <c r="F33" s="114"/>
      <c r="G33" s="114"/>
      <c r="H33" s="114"/>
      <c r="I33" s="114"/>
      <c r="J33" s="876">
        <v>812885</v>
      </c>
      <c r="K33" s="882">
        <v>812885</v>
      </c>
      <c r="L33" s="1068">
        <f t="shared" si="8"/>
        <v>100</v>
      </c>
    </row>
    <row r="34" spans="1:12" ht="13.5" customHeight="1" x14ac:dyDescent="0.2">
      <c r="A34" s="19"/>
      <c r="B34" s="222">
        <f>B33+1</f>
        <v>30</v>
      </c>
      <c r="C34" s="615" t="s">
        <v>546</v>
      </c>
      <c r="D34" s="616"/>
      <c r="E34" s="616"/>
      <c r="F34" s="616"/>
      <c r="G34" s="616"/>
      <c r="H34" s="616"/>
      <c r="I34" s="616"/>
      <c r="J34" s="876">
        <v>286495</v>
      </c>
      <c r="K34" s="882">
        <v>286491</v>
      </c>
      <c r="L34" s="1068">
        <f t="shared" si="8"/>
        <v>99.998603815075299</v>
      </c>
    </row>
    <row r="35" spans="1:12" ht="13.5" customHeight="1" x14ac:dyDescent="0.2">
      <c r="A35" s="19"/>
      <c r="B35" s="222">
        <f t="shared" ref="B35:B36" si="13">B34+1</f>
        <v>31</v>
      </c>
      <c r="C35" s="615" t="s">
        <v>796</v>
      </c>
      <c r="D35" s="616"/>
      <c r="E35" s="616"/>
      <c r="F35" s="616"/>
      <c r="G35" s="616"/>
      <c r="H35" s="616"/>
      <c r="I35" s="616"/>
      <c r="J35" s="876">
        <v>2401469</v>
      </c>
      <c r="K35" s="882">
        <v>2401469</v>
      </c>
      <c r="L35" s="1068">
        <f t="shared" si="8"/>
        <v>100</v>
      </c>
    </row>
    <row r="36" spans="1:12" ht="13.5" customHeight="1" x14ac:dyDescent="0.2">
      <c r="A36" s="19"/>
      <c r="B36" s="222">
        <f t="shared" si="13"/>
        <v>32</v>
      </c>
      <c r="C36" s="119" t="s">
        <v>193</v>
      </c>
      <c r="D36" s="114"/>
      <c r="E36" s="114"/>
      <c r="F36" s="114"/>
      <c r="G36" s="114"/>
      <c r="H36" s="114"/>
      <c r="I36" s="114"/>
      <c r="J36" s="876">
        <v>800940</v>
      </c>
      <c r="K36" s="882">
        <v>800940</v>
      </c>
      <c r="L36" s="1068">
        <f t="shared" si="8"/>
        <v>100</v>
      </c>
    </row>
    <row r="37" spans="1:12" ht="14.25" customHeight="1" x14ac:dyDescent="0.25">
      <c r="A37" s="19"/>
      <c r="B37" s="222">
        <f>B36+1</f>
        <v>33</v>
      </c>
      <c r="C37" s="124" t="s">
        <v>195</v>
      </c>
      <c r="D37" s="125"/>
      <c r="E37" s="125"/>
      <c r="F37" s="125"/>
      <c r="G37" s="125"/>
      <c r="H37" s="125"/>
      <c r="I37" s="125"/>
      <c r="J37" s="874">
        <f>22000+2000</f>
        <v>24000</v>
      </c>
      <c r="K37" s="880">
        <v>23595</v>
      </c>
      <c r="L37" s="1066">
        <f t="shared" si="8"/>
        <v>98.3125</v>
      </c>
    </row>
    <row r="38" spans="1:12" ht="14.25" customHeight="1" x14ac:dyDescent="0.25">
      <c r="A38" s="19"/>
      <c r="B38" s="221">
        <f t="shared" si="11"/>
        <v>34</v>
      </c>
      <c r="C38" s="124" t="s">
        <v>733</v>
      </c>
      <c r="D38" s="125"/>
      <c r="E38" s="125"/>
      <c r="F38" s="125"/>
      <c r="G38" s="125"/>
      <c r="H38" s="125"/>
      <c r="I38" s="125"/>
      <c r="J38" s="874">
        <f>SUM(J39:J43)</f>
        <v>2461295</v>
      </c>
      <c r="K38" s="880">
        <f t="shared" ref="K38" si="14">SUM(K39:K43)</f>
        <v>2460393</v>
      </c>
      <c r="L38" s="1066">
        <f t="shared" si="8"/>
        <v>99.963352625345607</v>
      </c>
    </row>
    <row r="39" spans="1:12" ht="14.25" customHeight="1" x14ac:dyDescent="0.2">
      <c r="A39" s="19"/>
      <c r="B39" s="222">
        <f t="shared" si="11"/>
        <v>35</v>
      </c>
      <c r="C39" s="615" t="s">
        <v>734</v>
      </c>
      <c r="D39" s="114"/>
      <c r="E39" s="114"/>
      <c r="F39" s="114"/>
      <c r="G39" s="114"/>
      <c r="H39" s="114"/>
      <c r="I39" s="114"/>
      <c r="J39" s="876">
        <v>228816</v>
      </c>
      <c r="K39" s="882">
        <v>228815</v>
      </c>
      <c r="L39" s="1068">
        <f t="shared" si="8"/>
        <v>99.999562967624641</v>
      </c>
    </row>
    <row r="40" spans="1:12" ht="14.25" customHeight="1" x14ac:dyDescent="0.2">
      <c r="A40" s="19"/>
      <c r="B40" s="222">
        <f>B39+1</f>
        <v>36</v>
      </c>
      <c r="C40" s="615" t="s">
        <v>735</v>
      </c>
      <c r="D40" s="616"/>
      <c r="E40" s="616"/>
      <c r="F40" s="616"/>
      <c r="G40" s="616"/>
      <c r="H40" s="616"/>
      <c r="I40" s="616"/>
      <c r="J40" s="876">
        <v>1162800</v>
      </c>
      <c r="K40" s="882">
        <v>1162799</v>
      </c>
      <c r="L40" s="1068">
        <f t="shared" si="8"/>
        <v>99.999914000687994</v>
      </c>
    </row>
    <row r="41" spans="1:12" ht="14.25" customHeight="1" x14ac:dyDescent="0.2">
      <c r="A41" s="19"/>
      <c r="B41" s="222">
        <f t="shared" si="11"/>
        <v>37</v>
      </c>
      <c r="C41" s="119" t="s">
        <v>736</v>
      </c>
      <c r="D41" s="114"/>
      <c r="E41" s="114"/>
      <c r="F41" s="114"/>
      <c r="G41" s="114"/>
      <c r="H41" s="114"/>
      <c r="I41" s="114"/>
      <c r="J41" s="876">
        <v>885000</v>
      </c>
      <c r="K41" s="882">
        <v>884113</v>
      </c>
      <c r="L41" s="1068">
        <f t="shared" si="8"/>
        <v>99.899774011299442</v>
      </c>
    </row>
    <row r="42" spans="1:12" ht="14.25" customHeight="1" x14ac:dyDescent="0.2">
      <c r="A42" s="19"/>
      <c r="B42" s="222">
        <f t="shared" si="11"/>
        <v>38</v>
      </c>
      <c r="C42" s="119" t="s">
        <v>736</v>
      </c>
      <c r="D42" s="114"/>
      <c r="E42" s="114"/>
      <c r="F42" s="114"/>
      <c r="G42" s="114"/>
      <c r="H42" s="114"/>
      <c r="I42" s="114"/>
      <c r="J42" s="876">
        <v>58679</v>
      </c>
      <c r="K42" s="882">
        <v>58677</v>
      </c>
      <c r="L42" s="1068">
        <f t="shared" si="8"/>
        <v>99.996591625624148</v>
      </c>
    </row>
    <row r="43" spans="1:12" ht="14.25" customHeight="1" thickBot="1" x14ac:dyDescent="0.25">
      <c r="A43" s="19"/>
      <c r="B43" s="222">
        <f t="shared" si="11"/>
        <v>39</v>
      </c>
      <c r="C43" s="119" t="s">
        <v>736</v>
      </c>
      <c r="D43" s="114"/>
      <c r="E43" s="114"/>
      <c r="F43" s="114"/>
      <c r="G43" s="114"/>
      <c r="H43" s="114"/>
      <c r="I43" s="114"/>
      <c r="J43" s="876">
        <v>126000</v>
      </c>
      <c r="K43" s="882">
        <v>125989</v>
      </c>
      <c r="L43" s="1068">
        <f t="shared" si="8"/>
        <v>99.99126984126984</v>
      </c>
    </row>
    <row r="44" spans="1:12" ht="20.25" customHeight="1" thickTop="1" thickBot="1" x14ac:dyDescent="0.3">
      <c r="A44" s="19"/>
      <c r="B44" s="220">
        <f>B37+1</f>
        <v>34</v>
      </c>
      <c r="C44" s="617" t="s">
        <v>187</v>
      </c>
      <c r="D44" s="174"/>
      <c r="E44" s="174"/>
      <c r="F44" s="174"/>
      <c r="G44" s="174"/>
      <c r="H44" s="174"/>
      <c r="I44" s="174"/>
      <c r="J44" s="877">
        <f>J22+J25-J31</f>
        <v>0</v>
      </c>
      <c r="K44" s="883">
        <f t="shared" ref="K44" si="15">K22+K25-K31</f>
        <v>3975650.8800000027</v>
      </c>
      <c r="L44" s="1069"/>
    </row>
    <row r="45" spans="1:12" ht="4.5" customHeight="1" x14ac:dyDescent="0.2">
      <c r="A45" s="19"/>
      <c r="B45" s="276"/>
      <c r="C45" s="277"/>
      <c r="D45" s="129"/>
      <c r="E45" s="129"/>
      <c r="F45" s="129"/>
      <c r="G45" s="129"/>
      <c r="H45" s="129"/>
      <c r="I45" s="129"/>
      <c r="J45" s="129"/>
    </row>
    <row r="46" spans="1:12" ht="46.5" customHeight="1" x14ac:dyDescent="0.2">
      <c r="A46" s="19"/>
      <c r="B46" s="1166" t="s">
        <v>190</v>
      </c>
      <c r="C46" s="1166"/>
      <c r="D46" s="1166"/>
      <c r="E46" s="1166"/>
      <c r="F46" s="1166"/>
      <c r="G46" s="1166"/>
      <c r="H46" s="1166"/>
      <c r="I46" s="1166"/>
      <c r="J46" s="1166"/>
      <c r="K46" s="1166"/>
      <c r="L46" s="1166"/>
    </row>
    <row r="47" spans="1:12" ht="45" customHeight="1" x14ac:dyDescent="0.2">
      <c r="A47" s="19"/>
      <c r="B47" s="1165" t="s">
        <v>633</v>
      </c>
      <c r="C47" s="1165"/>
      <c r="D47" s="1165"/>
      <c r="E47" s="1165"/>
      <c r="F47" s="1165"/>
      <c r="G47" s="1165"/>
      <c r="H47" s="1165"/>
      <c r="I47" s="1165"/>
      <c r="J47" s="1165"/>
      <c r="K47" s="1165"/>
      <c r="L47" s="1165"/>
    </row>
    <row r="48" spans="1:12" x14ac:dyDescent="0.2">
      <c r="C48" s="129"/>
    </row>
    <row r="49" spans="3:3" x14ac:dyDescent="0.2">
      <c r="C49" s="129"/>
    </row>
    <row r="50" spans="3:3" x14ac:dyDescent="0.2">
      <c r="C50" s="129"/>
    </row>
    <row r="51" spans="3:3" x14ac:dyDescent="0.2">
      <c r="C51" s="129"/>
    </row>
    <row r="52" spans="3:3" x14ac:dyDescent="0.2">
      <c r="C52" s="129"/>
    </row>
    <row r="53" spans="3:3" x14ac:dyDescent="0.2">
      <c r="C53" s="129"/>
    </row>
    <row r="54" spans="3:3" x14ac:dyDescent="0.2">
      <c r="C54" s="129"/>
    </row>
    <row r="55" spans="3:3" x14ac:dyDescent="0.2">
      <c r="C55" s="129"/>
    </row>
    <row r="56" spans="3:3" x14ac:dyDescent="0.2">
      <c r="C56" s="129"/>
    </row>
    <row r="57" spans="3:3" x14ac:dyDescent="0.2">
      <c r="C57" s="129"/>
    </row>
    <row r="58" spans="3:3" x14ac:dyDescent="0.2">
      <c r="C58" s="129"/>
    </row>
    <row r="59" spans="3:3" x14ac:dyDescent="0.2">
      <c r="C59" s="129"/>
    </row>
    <row r="60" spans="3:3" x14ac:dyDescent="0.2">
      <c r="C60" s="129"/>
    </row>
    <row r="61" spans="3:3" x14ac:dyDescent="0.2">
      <c r="C61" s="129"/>
    </row>
    <row r="62" spans="3:3" x14ac:dyDescent="0.2">
      <c r="C62" s="129"/>
    </row>
    <row r="63" spans="3:3" x14ac:dyDescent="0.2">
      <c r="C63" s="129"/>
    </row>
  </sheetData>
  <mergeCells count="19">
    <mergeCell ref="B46:L46"/>
    <mergeCell ref="C18:C19"/>
    <mergeCell ref="B2:C2"/>
    <mergeCell ref="B1:J1"/>
    <mergeCell ref="G20:G21"/>
    <mergeCell ref="C20:C21"/>
    <mergeCell ref="D18:D19"/>
    <mergeCell ref="J20:J21"/>
    <mergeCell ref="J18:J19"/>
    <mergeCell ref="E18:E19"/>
    <mergeCell ref="H20:H21"/>
    <mergeCell ref="F18:F19"/>
    <mergeCell ref="I20:I21"/>
    <mergeCell ref="B47:L47"/>
    <mergeCell ref="K18:K19"/>
    <mergeCell ref="L18:L19"/>
    <mergeCell ref="K20:K21"/>
    <mergeCell ref="L20:L21"/>
    <mergeCell ref="B24:L24"/>
  </mergeCells>
  <phoneticPr fontId="1" type="noConversion"/>
  <pageMargins left="0.55118110236220474" right="0.19685039370078741" top="0.70866141732283472" bottom="0.19685039370078741" header="0.23622047244094491" footer="0.1968503937007874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8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5.7109375" style="869" customWidth="1"/>
    <col min="11" max="11" width="1.42578125" style="76" customWidth="1"/>
    <col min="12" max="13" width="14.28515625" style="76" customWidth="1"/>
    <col min="14" max="14" width="6.140625" style="869" customWidth="1"/>
    <col min="15" max="15" width="1.42578125" style="76" customWidth="1"/>
    <col min="16" max="16" width="12.85546875" style="76" customWidth="1"/>
    <col min="17" max="17" width="12" customWidth="1"/>
    <col min="18" max="18" width="6.42578125" style="861" customWidth="1"/>
  </cols>
  <sheetData>
    <row r="1" spans="1:18" ht="42.75" customHeight="1" thickBot="1" x14ac:dyDescent="0.25">
      <c r="A1" s="17"/>
      <c r="B1" s="1134" t="s">
        <v>719</v>
      </c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</row>
    <row r="2" spans="1:18" ht="15" customHeight="1" thickBot="1" x14ac:dyDescent="0.25">
      <c r="B2" s="1131" t="s">
        <v>632</v>
      </c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3"/>
      <c r="O2" s="116"/>
      <c r="P2" s="1125" t="s">
        <v>716</v>
      </c>
      <c r="Q2" s="1125" t="s">
        <v>886</v>
      </c>
      <c r="R2" s="1128" t="s">
        <v>887</v>
      </c>
    </row>
    <row r="3" spans="1:18" ht="38.25" customHeight="1" thickTop="1" x14ac:dyDescent="0.2">
      <c r="B3" s="552"/>
      <c r="C3" s="1123" t="s">
        <v>478</v>
      </c>
      <c r="D3" s="1123" t="s">
        <v>477</v>
      </c>
      <c r="E3" s="1123" t="s">
        <v>475</v>
      </c>
      <c r="F3" s="1123" t="s">
        <v>476</v>
      </c>
      <c r="G3" s="871" t="s">
        <v>3</v>
      </c>
      <c r="H3" s="1135" t="s">
        <v>902</v>
      </c>
      <c r="I3" s="1135" t="s">
        <v>903</v>
      </c>
      <c r="J3" s="1139" t="s">
        <v>887</v>
      </c>
      <c r="L3" s="1137" t="s">
        <v>904</v>
      </c>
      <c r="M3" s="1137" t="s">
        <v>905</v>
      </c>
      <c r="N3" s="1139" t="s">
        <v>887</v>
      </c>
      <c r="P3" s="1126"/>
      <c r="Q3" s="1126"/>
      <c r="R3" s="1129"/>
    </row>
    <row r="4" spans="1:18" ht="31.5" customHeight="1" thickBot="1" x14ac:dyDescent="0.25">
      <c r="B4" s="552"/>
      <c r="C4" s="1124"/>
      <c r="D4" s="1124"/>
      <c r="E4" s="1124"/>
      <c r="F4" s="1124"/>
      <c r="G4" s="551"/>
      <c r="H4" s="1136"/>
      <c r="I4" s="1136"/>
      <c r="J4" s="1140"/>
      <c r="L4" s="1138"/>
      <c r="M4" s="1138"/>
      <c r="N4" s="1140"/>
      <c r="P4" s="1127"/>
      <c r="Q4" s="1127"/>
      <c r="R4" s="1130"/>
    </row>
    <row r="5" spans="1:18" ht="21" customHeight="1" thickTop="1" thickBot="1" x14ac:dyDescent="0.25">
      <c r="B5" s="553">
        <v>1</v>
      </c>
      <c r="C5" s="235" t="s">
        <v>204</v>
      </c>
      <c r="D5" s="109"/>
      <c r="E5" s="109"/>
      <c r="F5" s="109"/>
      <c r="G5" s="191"/>
      <c r="H5" s="411">
        <f>H6+H25+H49+H50+H51+H52+H59+H70+H35</f>
        <v>385747</v>
      </c>
      <c r="I5" s="411">
        <f t="shared" ref="I5" si="0">I6+I25+I49+I50+I51+I52+I59+I70+I35</f>
        <v>318115.96999999997</v>
      </c>
      <c r="J5" s="969">
        <f>I5/H5*100</f>
        <v>82.467516273619751</v>
      </c>
      <c r="K5" s="554"/>
      <c r="L5" s="555">
        <f>L6+L25+L49+L50+L51+L52+L59+L70+L35</f>
        <v>126554</v>
      </c>
      <c r="M5" s="555">
        <f t="shared" ref="M5" si="1">M6+M25+M49+M50+M51+M52+M59+M70+M35</f>
        <v>16452</v>
      </c>
      <c r="N5" s="974">
        <f>M5/L5*100</f>
        <v>12.999984196469491</v>
      </c>
      <c r="O5" s="111"/>
      <c r="P5" s="420">
        <f t="shared" ref="P5:P37" si="2">H5+L5</f>
        <v>512301</v>
      </c>
      <c r="Q5" s="420">
        <f t="shared" ref="Q5:Q68" si="3">I5+M5</f>
        <v>334567.96999999997</v>
      </c>
      <c r="R5" s="980">
        <f>Q5/P5*100</f>
        <v>65.30691331853734</v>
      </c>
    </row>
    <row r="6" spans="1:18" ht="15" customHeight="1" thickTop="1" x14ac:dyDescent="0.25">
      <c r="B6" s="172">
        <f t="shared" ref="B6:B56" si="4">B5+1</f>
        <v>2</v>
      </c>
      <c r="C6" s="23">
        <v>1</v>
      </c>
      <c r="D6" s="123" t="s">
        <v>126</v>
      </c>
      <c r="E6" s="282"/>
      <c r="F6" s="282"/>
      <c r="G6" s="283"/>
      <c r="H6" s="549">
        <f>H7+H13+H15+H17+H19</f>
        <v>192384</v>
      </c>
      <c r="I6" s="549">
        <f t="shared" ref="I6" si="5">I7+I13+I15+I17+I19</f>
        <v>158042</v>
      </c>
      <c r="J6" s="970">
        <f t="shared" ref="J6:J69" si="6">I6/H6*100</f>
        <v>82.149243180306058</v>
      </c>
      <c r="K6" s="86"/>
      <c r="L6" s="378">
        <f>L7+L13+L15+L17+L19</f>
        <v>0</v>
      </c>
      <c r="M6" s="378">
        <f t="shared" ref="M6" si="7">M7+M13+M15+M17+M19</f>
        <v>0</v>
      </c>
      <c r="N6" s="975"/>
      <c r="O6" s="86"/>
      <c r="P6" s="372">
        <f>H6+L6</f>
        <v>192384</v>
      </c>
      <c r="Q6" s="372">
        <f t="shared" si="3"/>
        <v>158042</v>
      </c>
      <c r="R6" s="981">
        <f t="shared" ref="R6:R69" si="8">Q6/P6*100</f>
        <v>82.149243180306058</v>
      </c>
    </row>
    <row r="7" spans="1:18" ht="15" customHeight="1" x14ac:dyDescent="0.25">
      <c r="B7" s="172">
        <f t="shared" si="4"/>
        <v>3</v>
      </c>
      <c r="C7" s="74"/>
      <c r="D7" s="543" t="s">
        <v>4</v>
      </c>
      <c r="E7" s="1119" t="s">
        <v>95</v>
      </c>
      <c r="F7" s="1119"/>
      <c r="G7" s="1119"/>
      <c r="H7" s="376">
        <f>SUM(H8:H12)</f>
        <v>14500</v>
      </c>
      <c r="I7" s="376">
        <f t="shared" ref="I7" si="9">SUM(I8:I12)</f>
        <v>10782</v>
      </c>
      <c r="J7" s="965">
        <f t="shared" si="6"/>
        <v>74.358620689655169</v>
      </c>
      <c r="K7" s="20"/>
      <c r="L7" s="379"/>
      <c r="M7" s="379"/>
      <c r="N7" s="976"/>
      <c r="O7" s="20"/>
      <c r="P7" s="210">
        <f t="shared" si="2"/>
        <v>14500</v>
      </c>
      <c r="Q7" s="210">
        <f t="shared" si="3"/>
        <v>10782</v>
      </c>
      <c r="R7" s="982">
        <f t="shared" si="8"/>
        <v>74.358620689655169</v>
      </c>
    </row>
    <row r="8" spans="1:18" s="151" customFormat="1" ht="12" customHeight="1" x14ac:dyDescent="0.2">
      <c r="A8" s="243"/>
      <c r="B8" s="172">
        <f t="shared" si="4"/>
        <v>4</v>
      </c>
      <c r="C8" s="126"/>
      <c r="D8" s="170"/>
      <c r="E8" s="292" t="s">
        <v>669</v>
      </c>
      <c r="F8" s="292" t="s">
        <v>200</v>
      </c>
      <c r="G8" s="569" t="s">
        <v>592</v>
      </c>
      <c r="H8" s="570">
        <f>6000+3000</f>
        <v>9000</v>
      </c>
      <c r="I8" s="570">
        <f>238+6326</f>
        <v>6564</v>
      </c>
      <c r="J8" s="966">
        <f t="shared" si="6"/>
        <v>72.933333333333323</v>
      </c>
      <c r="K8" s="128"/>
      <c r="L8" s="571"/>
      <c r="M8" s="571"/>
      <c r="N8" s="976"/>
      <c r="O8" s="128"/>
      <c r="P8" s="133">
        <f t="shared" si="2"/>
        <v>9000</v>
      </c>
      <c r="Q8" s="133">
        <f t="shared" si="3"/>
        <v>6564</v>
      </c>
      <c r="R8" s="983">
        <f t="shared" si="8"/>
        <v>72.933333333333323</v>
      </c>
    </row>
    <row r="9" spans="1:18" s="151" customFormat="1" ht="12" customHeight="1" x14ac:dyDescent="0.2">
      <c r="A9" s="243"/>
      <c r="B9" s="172">
        <f t="shared" si="4"/>
        <v>5</v>
      </c>
      <c r="C9" s="126"/>
      <c r="D9" s="170"/>
      <c r="E9" s="292" t="s">
        <v>669</v>
      </c>
      <c r="F9" s="292" t="s">
        <v>201</v>
      </c>
      <c r="G9" s="569" t="s">
        <v>260</v>
      </c>
      <c r="H9" s="570">
        <v>500</v>
      </c>
      <c r="I9" s="570">
        <v>468</v>
      </c>
      <c r="J9" s="966">
        <f t="shared" si="6"/>
        <v>93.600000000000009</v>
      </c>
      <c r="K9" s="128"/>
      <c r="L9" s="571"/>
      <c r="M9" s="571"/>
      <c r="N9" s="976"/>
      <c r="O9" s="128"/>
      <c r="P9" s="133">
        <f t="shared" si="2"/>
        <v>500</v>
      </c>
      <c r="Q9" s="133">
        <f t="shared" si="3"/>
        <v>468</v>
      </c>
      <c r="R9" s="983">
        <f t="shared" si="8"/>
        <v>93.600000000000009</v>
      </c>
    </row>
    <row r="10" spans="1:18" s="151" customFormat="1" ht="12" customHeight="1" x14ac:dyDescent="0.2">
      <c r="A10" s="243"/>
      <c r="B10" s="172">
        <f t="shared" si="4"/>
        <v>6</v>
      </c>
      <c r="C10" s="126"/>
      <c r="D10" s="170"/>
      <c r="E10" s="292" t="s">
        <v>669</v>
      </c>
      <c r="F10" s="292" t="s">
        <v>215</v>
      </c>
      <c r="G10" s="569" t="s">
        <v>347</v>
      </c>
      <c r="H10" s="570">
        <v>500</v>
      </c>
      <c r="I10" s="570">
        <v>180</v>
      </c>
      <c r="J10" s="966">
        <f t="shared" si="6"/>
        <v>36</v>
      </c>
      <c r="K10" s="128"/>
      <c r="L10" s="571"/>
      <c r="M10" s="571"/>
      <c r="N10" s="976"/>
      <c r="O10" s="128"/>
      <c r="P10" s="133">
        <f t="shared" si="2"/>
        <v>500</v>
      </c>
      <c r="Q10" s="133">
        <f t="shared" si="3"/>
        <v>180</v>
      </c>
      <c r="R10" s="983">
        <f t="shared" si="8"/>
        <v>36</v>
      </c>
    </row>
    <row r="11" spans="1:18" s="151" customFormat="1" ht="12" customHeight="1" x14ac:dyDescent="0.2">
      <c r="A11" s="243"/>
      <c r="B11" s="172">
        <f t="shared" si="4"/>
        <v>7</v>
      </c>
      <c r="C11" s="126"/>
      <c r="D11" s="170"/>
      <c r="E11" s="292" t="s">
        <v>669</v>
      </c>
      <c r="F11" s="568">
        <v>637</v>
      </c>
      <c r="G11" s="569" t="s">
        <v>571</v>
      </c>
      <c r="H11" s="570">
        <f>5500-3000</f>
        <v>2500</v>
      </c>
      <c r="I11" s="570">
        <v>1669</v>
      </c>
      <c r="J11" s="966">
        <f t="shared" si="6"/>
        <v>66.759999999999991</v>
      </c>
      <c r="K11" s="128"/>
      <c r="L11" s="570"/>
      <c r="M11" s="570"/>
      <c r="N11" s="870"/>
      <c r="O11" s="128"/>
      <c r="P11" s="133">
        <f t="shared" si="2"/>
        <v>2500</v>
      </c>
      <c r="Q11" s="133">
        <f t="shared" si="3"/>
        <v>1669</v>
      </c>
      <c r="R11" s="983">
        <f t="shared" si="8"/>
        <v>66.759999999999991</v>
      </c>
    </row>
    <row r="12" spans="1:18" s="151" customFormat="1" ht="12" customHeight="1" x14ac:dyDescent="0.2">
      <c r="A12" s="243"/>
      <c r="B12" s="172">
        <f t="shared" si="4"/>
        <v>8</v>
      </c>
      <c r="C12" s="126"/>
      <c r="D12" s="160"/>
      <c r="E12" s="292" t="s">
        <v>669</v>
      </c>
      <c r="F12" s="568">
        <v>631</v>
      </c>
      <c r="G12" s="569" t="s">
        <v>440</v>
      </c>
      <c r="H12" s="570">
        <v>2000</v>
      </c>
      <c r="I12" s="398">
        <v>1901</v>
      </c>
      <c r="J12" s="966">
        <f t="shared" si="6"/>
        <v>95.05</v>
      </c>
      <c r="K12" s="128"/>
      <c r="L12" s="570"/>
      <c r="M12" s="570"/>
      <c r="N12" s="870"/>
      <c r="O12" s="128"/>
      <c r="P12" s="133">
        <f t="shared" si="2"/>
        <v>2000</v>
      </c>
      <c r="Q12" s="133">
        <f t="shared" si="3"/>
        <v>1901</v>
      </c>
      <c r="R12" s="983">
        <f t="shared" si="8"/>
        <v>95.05</v>
      </c>
    </row>
    <row r="13" spans="1:18" ht="15" customHeight="1" x14ac:dyDescent="0.25">
      <c r="B13" s="172">
        <f t="shared" si="4"/>
        <v>9</v>
      </c>
      <c r="C13" s="74"/>
      <c r="D13" s="543" t="s">
        <v>5</v>
      </c>
      <c r="E13" s="1119" t="s">
        <v>316</v>
      </c>
      <c r="F13" s="1119"/>
      <c r="G13" s="1119"/>
      <c r="H13" s="376">
        <f>H14</f>
        <v>500</v>
      </c>
      <c r="I13" s="376">
        <f t="shared" ref="I13" si="10">I14</f>
        <v>0</v>
      </c>
      <c r="J13" s="965">
        <f t="shared" si="6"/>
        <v>0</v>
      </c>
      <c r="K13" s="20"/>
      <c r="L13" s="379"/>
      <c r="M13" s="379"/>
      <c r="N13" s="976"/>
      <c r="O13" s="20"/>
      <c r="P13" s="210">
        <f t="shared" si="2"/>
        <v>500</v>
      </c>
      <c r="Q13" s="210">
        <f t="shared" si="3"/>
        <v>0</v>
      </c>
      <c r="R13" s="982">
        <f t="shared" si="8"/>
        <v>0</v>
      </c>
    </row>
    <row r="14" spans="1:18" s="151" customFormat="1" ht="12" customHeight="1" x14ac:dyDescent="0.2">
      <c r="A14" s="243"/>
      <c r="B14" s="172">
        <f t="shared" si="4"/>
        <v>10</v>
      </c>
      <c r="C14" s="126"/>
      <c r="D14" s="170"/>
      <c r="E14" s="292" t="s">
        <v>669</v>
      </c>
      <c r="F14" s="292" t="s">
        <v>200</v>
      </c>
      <c r="G14" s="569" t="s">
        <v>496</v>
      </c>
      <c r="H14" s="570">
        <v>500</v>
      </c>
      <c r="I14" s="570">
        <v>0</v>
      </c>
      <c r="J14" s="966">
        <f t="shared" si="6"/>
        <v>0</v>
      </c>
      <c r="K14" s="128"/>
      <c r="L14" s="571"/>
      <c r="M14" s="571"/>
      <c r="N14" s="976"/>
      <c r="O14" s="128"/>
      <c r="P14" s="133">
        <f t="shared" si="2"/>
        <v>500</v>
      </c>
      <c r="Q14" s="133">
        <f t="shared" si="3"/>
        <v>0</v>
      </c>
      <c r="R14" s="983">
        <f t="shared" si="8"/>
        <v>0</v>
      </c>
    </row>
    <row r="15" spans="1:18" ht="15" customHeight="1" x14ac:dyDescent="0.25">
      <c r="B15" s="172">
        <f t="shared" si="4"/>
        <v>11</v>
      </c>
      <c r="C15" s="75"/>
      <c r="D15" s="543" t="s">
        <v>6</v>
      </c>
      <c r="E15" s="1119" t="s">
        <v>117</v>
      </c>
      <c r="F15" s="1119"/>
      <c r="G15" s="1119"/>
      <c r="H15" s="376">
        <f>H16</f>
        <v>670</v>
      </c>
      <c r="I15" s="376">
        <f t="shared" ref="I15" si="11">I16</f>
        <v>378</v>
      </c>
      <c r="J15" s="965">
        <f t="shared" si="6"/>
        <v>56.417910447761201</v>
      </c>
      <c r="K15" s="20"/>
      <c r="L15" s="379"/>
      <c r="M15" s="379"/>
      <c r="N15" s="976"/>
      <c r="O15" s="20"/>
      <c r="P15" s="210">
        <f t="shared" si="2"/>
        <v>670</v>
      </c>
      <c r="Q15" s="210">
        <f t="shared" si="3"/>
        <v>378</v>
      </c>
      <c r="R15" s="982">
        <f t="shared" si="8"/>
        <v>56.417910447761201</v>
      </c>
    </row>
    <row r="16" spans="1:18" s="129" customFormat="1" ht="12" customHeight="1" x14ac:dyDescent="0.2">
      <c r="A16" s="242"/>
      <c r="B16" s="172">
        <f t="shared" si="4"/>
        <v>12</v>
      </c>
      <c r="C16" s="126"/>
      <c r="D16" s="160"/>
      <c r="E16" s="292" t="s">
        <v>669</v>
      </c>
      <c r="F16" s="292" t="s">
        <v>200</v>
      </c>
      <c r="G16" s="569" t="s">
        <v>496</v>
      </c>
      <c r="H16" s="570">
        <v>670</v>
      </c>
      <c r="I16" s="570">
        <v>378</v>
      </c>
      <c r="J16" s="966">
        <f t="shared" si="6"/>
        <v>56.417910447761201</v>
      </c>
      <c r="K16" s="128"/>
      <c r="L16" s="571"/>
      <c r="M16" s="571"/>
      <c r="N16" s="976"/>
      <c r="O16" s="128"/>
      <c r="P16" s="133">
        <f t="shared" si="2"/>
        <v>670</v>
      </c>
      <c r="Q16" s="133">
        <f t="shared" si="3"/>
        <v>378</v>
      </c>
      <c r="R16" s="983">
        <f t="shared" si="8"/>
        <v>56.417910447761201</v>
      </c>
    </row>
    <row r="17" spans="1:18" ht="15" customHeight="1" x14ac:dyDescent="0.25">
      <c r="B17" s="172">
        <f t="shared" si="4"/>
        <v>13</v>
      </c>
      <c r="C17" s="75"/>
      <c r="D17" s="543" t="s">
        <v>7</v>
      </c>
      <c r="E17" s="1119" t="s">
        <v>166</v>
      </c>
      <c r="F17" s="1119"/>
      <c r="G17" s="1119"/>
      <c r="H17" s="376">
        <f>H18</f>
        <v>1000</v>
      </c>
      <c r="I17" s="376">
        <f t="shared" ref="I17" si="12">I18</f>
        <v>756</v>
      </c>
      <c r="J17" s="965">
        <f t="shared" si="6"/>
        <v>75.599999999999994</v>
      </c>
      <c r="K17" s="20"/>
      <c r="L17" s="379"/>
      <c r="M17" s="379"/>
      <c r="N17" s="976"/>
      <c r="O17" s="20"/>
      <c r="P17" s="210">
        <f t="shared" si="2"/>
        <v>1000</v>
      </c>
      <c r="Q17" s="210">
        <f t="shared" si="3"/>
        <v>756</v>
      </c>
      <c r="R17" s="982">
        <f t="shared" si="8"/>
        <v>75.599999999999994</v>
      </c>
    </row>
    <row r="18" spans="1:18" s="129" customFormat="1" ht="12" customHeight="1" x14ac:dyDescent="0.2">
      <c r="A18" s="242"/>
      <c r="B18" s="172">
        <f t="shared" si="4"/>
        <v>14</v>
      </c>
      <c r="C18" s="131"/>
      <c r="D18" s="170"/>
      <c r="E18" s="292" t="s">
        <v>669</v>
      </c>
      <c r="F18" s="292" t="s">
        <v>216</v>
      </c>
      <c r="G18" s="569" t="s">
        <v>524</v>
      </c>
      <c r="H18" s="570">
        <v>1000</v>
      </c>
      <c r="I18" s="570">
        <v>756</v>
      </c>
      <c r="J18" s="966">
        <f t="shared" si="6"/>
        <v>75.599999999999994</v>
      </c>
      <c r="K18" s="128"/>
      <c r="L18" s="571"/>
      <c r="M18" s="571"/>
      <c r="N18" s="976"/>
      <c r="O18" s="128"/>
      <c r="P18" s="133">
        <f t="shared" si="2"/>
        <v>1000</v>
      </c>
      <c r="Q18" s="133">
        <f t="shared" si="3"/>
        <v>756</v>
      </c>
      <c r="R18" s="983">
        <f t="shared" si="8"/>
        <v>75.599999999999994</v>
      </c>
    </row>
    <row r="19" spans="1:18" ht="15" customHeight="1" x14ac:dyDescent="0.25">
      <c r="B19" s="172">
        <f t="shared" si="4"/>
        <v>15</v>
      </c>
      <c r="C19" s="75"/>
      <c r="D19" s="543" t="s">
        <v>8</v>
      </c>
      <c r="E19" s="1119" t="s">
        <v>96</v>
      </c>
      <c r="F19" s="1119"/>
      <c r="G19" s="1119"/>
      <c r="H19" s="376">
        <f>SUM(H20:H24)</f>
        <v>175714</v>
      </c>
      <c r="I19" s="376">
        <f t="shared" ref="I19" si="13">SUM(I20:I24)</f>
        <v>146126</v>
      </c>
      <c r="J19" s="965">
        <f t="shared" si="6"/>
        <v>83.161273432964933</v>
      </c>
      <c r="K19" s="20"/>
      <c r="L19" s="379"/>
      <c r="M19" s="379"/>
      <c r="N19" s="976"/>
      <c r="O19" s="20"/>
      <c r="P19" s="210">
        <f t="shared" si="2"/>
        <v>175714</v>
      </c>
      <c r="Q19" s="210">
        <f t="shared" si="3"/>
        <v>146126</v>
      </c>
      <c r="R19" s="982">
        <f t="shared" si="8"/>
        <v>83.161273432964933</v>
      </c>
    </row>
    <row r="20" spans="1:18" s="151" customFormat="1" ht="12" customHeight="1" x14ac:dyDescent="0.2">
      <c r="A20" s="243"/>
      <c r="B20" s="172">
        <f t="shared" si="4"/>
        <v>16</v>
      </c>
      <c r="C20" s="126"/>
      <c r="D20" s="170"/>
      <c r="E20" s="292" t="s">
        <v>669</v>
      </c>
      <c r="F20" s="292" t="s">
        <v>212</v>
      </c>
      <c r="G20" s="569" t="s">
        <v>240</v>
      </c>
      <c r="H20" s="570">
        <v>36700</v>
      </c>
      <c r="I20" s="570">
        <v>29503</v>
      </c>
      <c r="J20" s="966">
        <f t="shared" si="6"/>
        <v>80.389645776566752</v>
      </c>
      <c r="K20" s="128"/>
      <c r="L20" s="571"/>
      <c r="M20" s="571"/>
      <c r="N20" s="976"/>
      <c r="O20" s="128"/>
      <c r="P20" s="133">
        <f t="shared" si="2"/>
        <v>36700</v>
      </c>
      <c r="Q20" s="133">
        <f t="shared" si="3"/>
        <v>29503</v>
      </c>
      <c r="R20" s="983">
        <f t="shared" si="8"/>
        <v>80.389645776566752</v>
      </c>
    </row>
    <row r="21" spans="1:18" s="151" customFormat="1" ht="12" customHeight="1" x14ac:dyDescent="0.2">
      <c r="A21" s="243"/>
      <c r="B21" s="172">
        <f t="shared" si="4"/>
        <v>17</v>
      </c>
      <c r="C21" s="126"/>
      <c r="D21" s="170"/>
      <c r="E21" s="292" t="s">
        <v>669</v>
      </c>
      <c r="F21" s="292" t="s">
        <v>199</v>
      </c>
      <c r="G21" s="569" t="s">
        <v>438</v>
      </c>
      <c r="H21" s="570">
        <f>14000-486</f>
        <v>13514</v>
      </c>
      <c r="I21" s="570">
        <v>13099</v>
      </c>
      <c r="J21" s="966">
        <f t="shared" si="6"/>
        <v>96.92911055202012</v>
      </c>
      <c r="K21" s="128"/>
      <c r="L21" s="571"/>
      <c r="M21" s="571"/>
      <c r="N21" s="976"/>
      <c r="O21" s="128"/>
      <c r="P21" s="133">
        <f t="shared" si="2"/>
        <v>13514</v>
      </c>
      <c r="Q21" s="133">
        <f t="shared" si="3"/>
        <v>13099</v>
      </c>
      <c r="R21" s="983">
        <f t="shared" si="8"/>
        <v>96.92911055202012</v>
      </c>
    </row>
    <row r="22" spans="1:18" s="151" customFormat="1" ht="12" customHeight="1" x14ac:dyDescent="0.2">
      <c r="A22" s="243"/>
      <c r="B22" s="172">
        <f t="shared" si="4"/>
        <v>18</v>
      </c>
      <c r="C22" s="126"/>
      <c r="D22" s="170"/>
      <c r="E22" s="292" t="s">
        <v>669</v>
      </c>
      <c r="F22" s="292" t="s">
        <v>200</v>
      </c>
      <c r="G22" s="569" t="s">
        <v>667</v>
      </c>
      <c r="H22" s="570">
        <f>200+20000</f>
        <v>20200</v>
      </c>
      <c r="I22" s="570">
        <v>18248</v>
      </c>
      <c r="J22" s="966">
        <f t="shared" si="6"/>
        <v>90.336633663366342</v>
      </c>
      <c r="K22" s="128"/>
      <c r="L22" s="570"/>
      <c r="M22" s="570"/>
      <c r="N22" s="870"/>
      <c r="O22" s="128"/>
      <c r="P22" s="133">
        <f t="shared" si="2"/>
        <v>20200</v>
      </c>
      <c r="Q22" s="133">
        <f t="shared" si="3"/>
        <v>18248</v>
      </c>
      <c r="R22" s="983">
        <f t="shared" si="8"/>
        <v>90.336633663366342</v>
      </c>
    </row>
    <row r="23" spans="1:18" s="151" customFormat="1" ht="12" customHeight="1" x14ac:dyDescent="0.2">
      <c r="A23" s="243"/>
      <c r="B23" s="172">
        <f t="shared" si="4"/>
        <v>19</v>
      </c>
      <c r="C23" s="126"/>
      <c r="D23" s="170"/>
      <c r="E23" s="292" t="s">
        <v>669</v>
      </c>
      <c r="F23" s="292" t="s">
        <v>216</v>
      </c>
      <c r="G23" s="569" t="s">
        <v>439</v>
      </c>
      <c r="H23" s="570">
        <v>105000</v>
      </c>
      <c r="I23" s="570">
        <f>3466+81810</f>
        <v>85276</v>
      </c>
      <c r="J23" s="966">
        <f t="shared" si="6"/>
        <v>81.215238095238092</v>
      </c>
      <c r="K23" s="128"/>
      <c r="L23" s="570"/>
      <c r="M23" s="570"/>
      <c r="N23" s="870"/>
      <c r="O23" s="128"/>
      <c r="P23" s="133">
        <f t="shared" si="2"/>
        <v>105000</v>
      </c>
      <c r="Q23" s="133">
        <f t="shared" si="3"/>
        <v>85276</v>
      </c>
      <c r="R23" s="983">
        <f t="shared" si="8"/>
        <v>81.215238095238092</v>
      </c>
    </row>
    <row r="24" spans="1:18" s="151" customFormat="1" ht="12" customHeight="1" x14ac:dyDescent="0.2">
      <c r="A24" s="243"/>
      <c r="B24" s="172">
        <f t="shared" si="4"/>
        <v>20</v>
      </c>
      <c r="C24" s="126"/>
      <c r="D24" s="179"/>
      <c r="E24" s="292" t="s">
        <v>669</v>
      </c>
      <c r="F24" s="292" t="s">
        <v>217</v>
      </c>
      <c r="G24" s="569" t="s">
        <v>268</v>
      </c>
      <c r="H24" s="570">
        <v>300</v>
      </c>
      <c r="I24" s="570">
        <v>0</v>
      </c>
      <c r="J24" s="966">
        <f t="shared" si="6"/>
        <v>0</v>
      </c>
      <c r="K24" s="128"/>
      <c r="L24" s="570"/>
      <c r="M24" s="570"/>
      <c r="N24" s="966"/>
      <c r="O24" s="128"/>
      <c r="P24" s="133">
        <f t="shared" si="2"/>
        <v>300</v>
      </c>
      <c r="Q24" s="133">
        <f t="shared" si="3"/>
        <v>0</v>
      </c>
      <c r="R24" s="983">
        <f t="shared" si="8"/>
        <v>0</v>
      </c>
    </row>
    <row r="25" spans="1:18" ht="15" customHeight="1" x14ac:dyDescent="0.25">
      <c r="B25" s="172">
        <f t="shared" si="4"/>
        <v>21</v>
      </c>
      <c r="C25" s="23">
        <v>2</v>
      </c>
      <c r="D25" s="123" t="s">
        <v>174</v>
      </c>
      <c r="E25" s="24"/>
      <c r="F25" s="24"/>
      <c r="G25" s="192"/>
      <c r="H25" s="416">
        <f>SUM(H26:H34)</f>
        <v>42091</v>
      </c>
      <c r="I25" s="416">
        <f t="shared" ref="I25" si="14">SUM(I26:I34)</f>
        <v>31589</v>
      </c>
      <c r="J25" s="971">
        <f t="shared" si="6"/>
        <v>75.049297949680451</v>
      </c>
      <c r="K25" s="86"/>
      <c r="L25" s="380">
        <f>SUM(L33:L34)</f>
        <v>22000</v>
      </c>
      <c r="M25" s="380">
        <f t="shared" ref="M25" si="15">SUM(M33:M34)</f>
        <v>12000</v>
      </c>
      <c r="N25" s="972">
        <f t="shared" ref="N25:N48" si="16">M25/L25*100</f>
        <v>54.54545454545454</v>
      </c>
      <c r="O25" s="86"/>
      <c r="P25" s="373">
        <f t="shared" si="2"/>
        <v>64091</v>
      </c>
      <c r="Q25" s="373">
        <f t="shared" si="3"/>
        <v>43589</v>
      </c>
      <c r="R25" s="984">
        <f t="shared" si="8"/>
        <v>68.011109204100421</v>
      </c>
    </row>
    <row r="26" spans="1:18" s="151" customFormat="1" ht="12" customHeight="1" x14ac:dyDescent="0.2">
      <c r="A26" s="243"/>
      <c r="B26" s="172">
        <f t="shared" si="4"/>
        <v>22</v>
      </c>
      <c r="C26" s="126"/>
      <c r="D26" s="126"/>
      <c r="E26" s="568" t="s">
        <v>244</v>
      </c>
      <c r="F26" s="568">
        <v>637</v>
      </c>
      <c r="G26" s="193" t="s">
        <v>242</v>
      </c>
      <c r="H26" s="570">
        <f>35000-2030-22949</f>
        <v>10021</v>
      </c>
      <c r="I26" s="398">
        <v>9110</v>
      </c>
      <c r="J26" s="966">
        <f t="shared" si="6"/>
        <v>90.909090909090907</v>
      </c>
      <c r="K26" s="128"/>
      <c r="L26" s="570"/>
      <c r="M26" s="570"/>
      <c r="N26" s="966"/>
      <c r="O26" s="128"/>
      <c r="P26" s="133">
        <f t="shared" si="2"/>
        <v>10021</v>
      </c>
      <c r="Q26" s="133">
        <f t="shared" si="3"/>
        <v>9110</v>
      </c>
      <c r="R26" s="983">
        <f t="shared" si="8"/>
        <v>90.909090909090907</v>
      </c>
    </row>
    <row r="27" spans="1:18" s="151" customFormat="1" ht="12" customHeight="1" x14ac:dyDescent="0.2">
      <c r="A27" s="243"/>
      <c r="B27" s="172">
        <f t="shared" si="4"/>
        <v>23</v>
      </c>
      <c r="C27" s="126"/>
      <c r="D27" s="126"/>
      <c r="E27" s="568" t="s">
        <v>244</v>
      </c>
      <c r="F27" s="130">
        <v>635</v>
      </c>
      <c r="G27" s="193" t="s">
        <v>243</v>
      </c>
      <c r="H27" s="570">
        <v>2000</v>
      </c>
      <c r="I27" s="398">
        <f>660+925+185</f>
        <v>1770</v>
      </c>
      <c r="J27" s="966">
        <f t="shared" si="6"/>
        <v>88.5</v>
      </c>
      <c r="K27" s="128"/>
      <c r="L27" s="570"/>
      <c r="M27" s="570"/>
      <c r="N27" s="966"/>
      <c r="O27" s="128"/>
      <c r="P27" s="133">
        <f t="shared" si="2"/>
        <v>2000</v>
      </c>
      <c r="Q27" s="133">
        <f t="shared" si="3"/>
        <v>1770</v>
      </c>
      <c r="R27" s="983">
        <f t="shared" si="8"/>
        <v>88.5</v>
      </c>
    </row>
    <row r="28" spans="1:18" s="542" customFormat="1" ht="24.75" customHeight="1" x14ac:dyDescent="0.2">
      <c r="A28" s="540"/>
      <c r="B28" s="714">
        <f t="shared" si="4"/>
        <v>24</v>
      </c>
      <c r="C28" s="483"/>
      <c r="D28" s="483"/>
      <c r="E28" s="488" t="s">
        <v>244</v>
      </c>
      <c r="F28" s="479">
        <v>637</v>
      </c>
      <c r="G28" s="541" t="s">
        <v>707</v>
      </c>
      <c r="H28" s="576">
        <v>9000</v>
      </c>
      <c r="I28" s="579">
        <f>3240+5748</f>
        <v>8988</v>
      </c>
      <c r="J28" s="967">
        <f t="shared" si="6"/>
        <v>99.866666666666674</v>
      </c>
      <c r="K28" s="475"/>
      <c r="L28" s="495"/>
      <c r="M28" s="495"/>
      <c r="N28" s="977"/>
      <c r="O28" s="475"/>
      <c r="P28" s="705">
        <f t="shared" si="2"/>
        <v>9000</v>
      </c>
      <c r="Q28" s="705">
        <f t="shared" si="3"/>
        <v>8988</v>
      </c>
      <c r="R28" s="985">
        <f t="shared" si="8"/>
        <v>99.866666666666674</v>
      </c>
    </row>
    <row r="29" spans="1:18" s="151" customFormat="1" ht="12" customHeight="1" x14ac:dyDescent="0.2">
      <c r="A29" s="243"/>
      <c r="B29" s="172">
        <f t="shared" si="4"/>
        <v>25</v>
      </c>
      <c r="C29" s="126"/>
      <c r="D29" s="126"/>
      <c r="E29" s="568" t="s">
        <v>244</v>
      </c>
      <c r="F29" s="130">
        <v>637</v>
      </c>
      <c r="G29" s="193" t="s">
        <v>709</v>
      </c>
      <c r="H29" s="570">
        <f>8000+2000</f>
        <v>10000</v>
      </c>
      <c r="I29" s="398">
        <f>7500+2000+400</f>
        <v>9900</v>
      </c>
      <c r="J29" s="966">
        <f t="shared" si="6"/>
        <v>99</v>
      </c>
      <c r="K29" s="128"/>
      <c r="L29" s="381"/>
      <c r="M29" s="381"/>
      <c r="N29" s="978"/>
      <c r="O29" s="128"/>
      <c r="P29" s="133">
        <f t="shared" si="2"/>
        <v>10000</v>
      </c>
      <c r="Q29" s="133">
        <f t="shared" si="3"/>
        <v>9900</v>
      </c>
      <c r="R29" s="983">
        <f t="shared" si="8"/>
        <v>99</v>
      </c>
    </row>
    <row r="30" spans="1:18" s="151" customFormat="1" ht="12" customHeight="1" x14ac:dyDescent="0.2">
      <c r="A30" s="243"/>
      <c r="B30" s="172">
        <f t="shared" si="4"/>
        <v>26</v>
      </c>
      <c r="C30" s="126"/>
      <c r="D30" s="160"/>
      <c r="E30" s="568" t="s">
        <v>244</v>
      </c>
      <c r="F30" s="130">
        <v>637</v>
      </c>
      <c r="G30" s="193" t="s">
        <v>706</v>
      </c>
      <c r="H30" s="570">
        <v>9000</v>
      </c>
      <c r="I30" s="398">
        <v>0</v>
      </c>
      <c r="J30" s="966">
        <f t="shared" si="6"/>
        <v>0</v>
      </c>
      <c r="K30" s="128"/>
      <c r="L30" s="381"/>
      <c r="M30" s="381"/>
      <c r="N30" s="978"/>
      <c r="O30" s="128"/>
      <c r="P30" s="133">
        <f t="shared" si="2"/>
        <v>9000</v>
      </c>
      <c r="Q30" s="133">
        <f t="shared" si="3"/>
        <v>0</v>
      </c>
      <c r="R30" s="983">
        <f t="shared" si="8"/>
        <v>0</v>
      </c>
    </row>
    <row r="31" spans="1:18" s="151" customFormat="1" ht="12" customHeight="1" x14ac:dyDescent="0.2">
      <c r="A31" s="243"/>
      <c r="B31" s="172">
        <f t="shared" si="4"/>
        <v>27</v>
      </c>
      <c r="C31" s="126"/>
      <c r="D31" s="160"/>
      <c r="E31" s="568" t="s">
        <v>244</v>
      </c>
      <c r="F31" s="130">
        <v>620</v>
      </c>
      <c r="G31" s="193" t="s">
        <v>240</v>
      </c>
      <c r="H31" s="570">
        <v>2030</v>
      </c>
      <c r="I31" s="398">
        <v>1781</v>
      </c>
      <c r="J31" s="966">
        <f t="shared" si="6"/>
        <v>87.733990147783246</v>
      </c>
      <c r="K31" s="128"/>
      <c r="L31" s="381"/>
      <c r="M31" s="381"/>
      <c r="N31" s="978"/>
      <c r="O31" s="128"/>
      <c r="P31" s="133">
        <f t="shared" si="2"/>
        <v>2030</v>
      </c>
      <c r="Q31" s="133">
        <f t="shared" si="3"/>
        <v>1781</v>
      </c>
      <c r="R31" s="983">
        <f t="shared" si="8"/>
        <v>87.733990147783246</v>
      </c>
    </row>
    <row r="32" spans="1:18" s="151" customFormat="1" ht="12" customHeight="1" x14ac:dyDescent="0.2">
      <c r="A32" s="243"/>
      <c r="B32" s="172">
        <f t="shared" si="4"/>
        <v>28</v>
      </c>
      <c r="C32" s="126"/>
      <c r="D32" s="160"/>
      <c r="E32" s="568" t="s">
        <v>244</v>
      </c>
      <c r="F32" s="130">
        <v>637</v>
      </c>
      <c r="G32" s="193" t="s">
        <v>763</v>
      </c>
      <c r="H32" s="570">
        <v>40</v>
      </c>
      <c r="I32" s="398">
        <v>40</v>
      </c>
      <c r="J32" s="966">
        <f t="shared" si="6"/>
        <v>100</v>
      </c>
      <c r="K32" s="128"/>
      <c r="L32" s="381"/>
      <c r="M32" s="381"/>
      <c r="N32" s="978"/>
      <c r="O32" s="128"/>
      <c r="P32" s="133">
        <f t="shared" si="2"/>
        <v>40</v>
      </c>
      <c r="Q32" s="133">
        <f t="shared" si="3"/>
        <v>40</v>
      </c>
      <c r="R32" s="983">
        <f t="shared" si="8"/>
        <v>100</v>
      </c>
    </row>
    <row r="33" spans="1:18" s="151" customFormat="1" ht="12" customHeight="1" x14ac:dyDescent="0.2">
      <c r="A33" s="243"/>
      <c r="B33" s="172">
        <f t="shared" si="4"/>
        <v>29</v>
      </c>
      <c r="C33" s="126"/>
      <c r="D33" s="160"/>
      <c r="E33" s="568" t="s">
        <v>244</v>
      </c>
      <c r="F33" s="130">
        <v>711</v>
      </c>
      <c r="G33" s="193" t="s">
        <v>587</v>
      </c>
      <c r="H33" s="570"/>
      <c r="I33" s="570"/>
      <c r="J33" s="966"/>
      <c r="K33" s="128"/>
      <c r="L33" s="381">
        <v>12000</v>
      </c>
      <c r="M33" s="381">
        <v>12000</v>
      </c>
      <c r="N33" s="978">
        <f t="shared" si="16"/>
        <v>100</v>
      </c>
      <c r="O33" s="128"/>
      <c r="P33" s="133">
        <f t="shared" si="2"/>
        <v>12000</v>
      </c>
      <c r="Q33" s="133">
        <f t="shared" si="3"/>
        <v>12000</v>
      </c>
      <c r="R33" s="983">
        <f t="shared" si="8"/>
        <v>100</v>
      </c>
    </row>
    <row r="34" spans="1:18" s="151" customFormat="1" ht="12" customHeight="1" x14ac:dyDescent="0.2">
      <c r="A34" s="243"/>
      <c r="B34" s="172">
        <f t="shared" si="4"/>
        <v>30</v>
      </c>
      <c r="C34" s="126"/>
      <c r="D34" s="160"/>
      <c r="E34" s="568" t="s">
        <v>244</v>
      </c>
      <c r="F34" s="130">
        <v>716</v>
      </c>
      <c r="G34" s="193" t="s">
        <v>242</v>
      </c>
      <c r="H34" s="570"/>
      <c r="I34" s="570"/>
      <c r="J34" s="966"/>
      <c r="K34" s="128"/>
      <c r="L34" s="381">
        <v>10000</v>
      </c>
      <c r="M34" s="381">
        <v>0</v>
      </c>
      <c r="N34" s="978">
        <f t="shared" si="16"/>
        <v>0</v>
      </c>
      <c r="O34" s="128"/>
      <c r="P34" s="133">
        <f t="shared" si="2"/>
        <v>10000</v>
      </c>
      <c r="Q34" s="133">
        <f t="shared" si="3"/>
        <v>0</v>
      </c>
      <c r="R34" s="983">
        <f t="shared" si="8"/>
        <v>0</v>
      </c>
    </row>
    <row r="35" spans="1:18" s="151" customFormat="1" ht="15" customHeight="1" x14ac:dyDescent="0.25">
      <c r="A35" s="243"/>
      <c r="B35" s="172">
        <f t="shared" si="4"/>
        <v>31</v>
      </c>
      <c r="C35" s="23">
        <v>3</v>
      </c>
      <c r="D35" s="1120" t="s">
        <v>419</v>
      </c>
      <c r="E35" s="1121"/>
      <c r="F35" s="1121"/>
      <c r="G35" s="1122"/>
      <c r="H35" s="413">
        <f>SUM(H36:H45)</f>
        <v>55549</v>
      </c>
      <c r="I35" s="413">
        <f t="shared" ref="I35" si="17">SUM(I36:I45)</f>
        <v>37183.97</v>
      </c>
      <c r="J35" s="972">
        <f t="shared" si="6"/>
        <v>66.93904480728726</v>
      </c>
      <c r="K35" s="128"/>
      <c r="L35" s="378">
        <f>SUM(L36:L51)</f>
        <v>104554</v>
      </c>
      <c r="M35" s="378">
        <f t="shared" ref="M35" si="18">SUM(M36:M51)</f>
        <v>4452</v>
      </c>
      <c r="N35" s="971">
        <f t="shared" si="16"/>
        <v>4.2580867303020451</v>
      </c>
      <c r="O35" s="128"/>
      <c r="P35" s="374">
        <f t="shared" si="2"/>
        <v>160103</v>
      </c>
      <c r="Q35" s="374">
        <f t="shared" si="3"/>
        <v>41635.97</v>
      </c>
      <c r="R35" s="982">
        <f t="shared" si="8"/>
        <v>26.005740054839698</v>
      </c>
    </row>
    <row r="36" spans="1:18" s="151" customFormat="1" ht="12" customHeight="1" x14ac:dyDescent="0.2">
      <c r="A36" s="243"/>
      <c r="B36" s="172">
        <f t="shared" si="4"/>
        <v>32</v>
      </c>
      <c r="C36" s="126"/>
      <c r="D36" s="160"/>
      <c r="E36" s="292" t="s">
        <v>669</v>
      </c>
      <c r="F36" s="588">
        <v>637</v>
      </c>
      <c r="G36" s="365" t="s">
        <v>568</v>
      </c>
      <c r="H36" s="398">
        <f>15500-1450-2051</f>
        <v>11999</v>
      </c>
      <c r="I36" s="398">
        <f>15+1000+1239+4360</f>
        <v>6614</v>
      </c>
      <c r="J36" s="966">
        <f t="shared" si="6"/>
        <v>55.121260105008751</v>
      </c>
      <c r="K36" s="128"/>
      <c r="L36" s="381"/>
      <c r="M36" s="381"/>
      <c r="N36" s="978"/>
      <c r="O36" s="128"/>
      <c r="P36" s="133">
        <f t="shared" si="2"/>
        <v>11999</v>
      </c>
      <c r="Q36" s="133">
        <f t="shared" si="3"/>
        <v>6614</v>
      </c>
      <c r="R36" s="983">
        <f t="shared" si="8"/>
        <v>55.121260105008751</v>
      </c>
    </row>
    <row r="37" spans="1:18" s="151" customFormat="1" ht="12" customHeight="1" x14ac:dyDescent="0.2">
      <c r="A37" s="243"/>
      <c r="B37" s="172">
        <f t="shared" si="4"/>
        <v>33</v>
      </c>
      <c r="C37" s="126"/>
      <c r="D37" s="160"/>
      <c r="E37" s="292" t="s">
        <v>669</v>
      </c>
      <c r="F37" s="363">
        <v>637</v>
      </c>
      <c r="G37" s="365" t="s">
        <v>636</v>
      </c>
      <c r="H37" s="398">
        <f>20000-260-500-2000</f>
        <v>17240</v>
      </c>
      <c r="I37" s="398">
        <f>990+900+1500+1464+960+948+840+600+600+600+2250+2250+498+600</f>
        <v>15000</v>
      </c>
      <c r="J37" s="966">
        <f t="shared" si="6"/>
        <v>87.006960556844547</v>
      </c>
      <c r="K37" s="128"/>
      <c r="L37" s="381"/>
      <c r="M37" s="381"/>
      <c r="N37" s="978"/>
      <c r="O37" s="128"/>
      <c r="P37" s="133">
        <f t="shared" si="2"/>
        <v>17240</v>
      </c>
      <c r="Q37" s="133">
        <f t="shared" si="3"/>
        <v>15000</v>
      </c>
      <c r="R37" s="983">
        <f t="shared" si="8"/>
        <v>87.006960556844547</v>
      </c>
    </row>
    <row r="38" spans="1:18" s="151" customFormat="1" ht="12" customHeight="1" x14ac:dyDescent="0.2">
      <c r="A38" s="243"/>
      <c r="B38" s="172">
        <f t="shared" si="4"/>
        <v>34</v>
      </c>
      <c r="C38" s="126"/>
      <c r="D38" s="160"/>
      <c r="E38" s="292" t="s">
        <v>669</v>
      </c>
      <c r="F38" s="363">
        <v>637</v>
      </c>
      <c r="G38" s="365" t="s">
        <v>585</v>
      </c>
      <c r="H38" s="398">
        <v>800</v>
      </c>
      <c r="I38" s="398">
        <f>152+50+60+69</f>
        <v>331</v>
      </c>
      <c r="J38" s="966">
        <f t="shared" si="6"/>
        <v>41.375</v>
      </c>
      <c r="K38" s="128"/>
      <c r="L38" s="381"/>
      <c r="M38" s="381"/>
      <c r="N38" s="978"/>
      <c r="O38" s="128"/>
      <c r="P38" s="133">
        <f t="shared" ref="P38:P70" si="19">H38+L38</f>
        <v>800</v>
      </c>
      <c r="Q38" s="133">
        <f t="shared" si="3"/>
        <v>331</v>
      </c>
      <c r="R38" s="983">
        <f t="shared" si="8"/>
        <v>41.375</v>
      </c>
    </row>
    <row r="39" spans="1:18" s="151" customFormat="1" ht="12" customHeight="1" x14ac:dyDescent="0.2">
      <c r="A39" s="243"/>
      <c r="B39" s="172">
        <f t="shared" si="4"/>
        <v>35</v>
      </c>
      <c r="C39" s="126"/>
      <c r="D39" s="160"/>
      <c r="E39" s="292" t="s">
        <v>669</v>
      </c>
      <c r="F39" s="363">
        <v>637</v>
      </c>
      <c r="G39" s="365" t="s">
        <v>586</v>
      </c>
      <c r="H39" s="398">
        <f>2000-1000</f>
        <v>1000</v>
      </c>
      <c r="I39" s="398">
        <v>191</v>
      </c>
      <c r="J39" s="966">
        <f t="shared" si="6"/>
        <v>19.100000000000001</v>
      </c>
      <c r="K39" s="128"/>
      <c r="L39" s="381"/>
      <c r="M39" s="381"/>
      <c r="N39" s="978"/>
      <c r="O39" s="128"/>
      <c r="P39" s="133">
        <f t="shared" si="19"/>
        <v>1000</v>
      </c>
      <c r="Q39" s="133">
        <f t="shared" si="3"/>
        <v>191</v>
      </c>
      <c r="R39" s="983">
        <f t="shared" si="8"/>
        <v>19.100000000000001</v>
      </c>
    </row>
    <row r="40" spans="1:18" s="151" customFormat="1" ht="12" customHeight="1" x14ac:dyDescent="0.2">
      <c r="A40" s="243"/>
      <c r="B40" s="172">
        <f t="shared" si="4"/>
        <v>36</v>
      </c>
      <c r="C40" s="126"/>
      <c r="D40" s="160"/>
      <c r="E40" s="292" t="s">
        <v>669</v>
      </c>
      <c r="F40" s="363">
        <v>633</v>
      </c>
      <c r="G40" s="365" t="s">
        <v>537</v>
      </c>
      <c r="H40" s="398">
        <v>1000</v>
      </c>
      <c r="I40" s="398">
        <v>0</v>
      </c>
      <c r="J40" s="966">
        <f t="shared" si="6"/>
        <v>0</v>
      </c>
      <c r="K40" s="128"/>
      <c r="L40" s="381"/>
      <c r="M40" s="381"/>
      <c r="N40" s="978"/>
      <c r="O40" s="128"/>
      <c r="P40" s="133">
        <f t="shared" si="19"/>
        <v>1000</v>
      </c>
      <c r="Q40" s="133">
        <f t="shared" si="3"/>
        <v>0</v>
      </c>
      <c r="R40" s="983">
        <f t="shared" si="8"/>
        <v>0</v>
      </c>
    </row>
    <row r="41" spans="1:18" s="151" customFormat="1" ht="12" customHeight="1" x14ac:dyDescent="0.2">
      <c r="A41" s="243"/>
      <c r="B41" s="172">
        <f t="shared" si="4"/>
        <v>37</v>
      </c>
      <c r="C41" s="126"/>
      <c r="D41" s="160"/>
      <c r="E41" s="292" t="s">
        <v>669</v>
      </c>
      <c r="F41" s="363">
        <v>631</v>
      </c>
      <c r="G41" s="365" t="s">
        <v>637</v>
      </c>
      <c r="H41" s="398">
        <v>800</v>
      </c>
      <c r="I41" s="398">
        <v>793</v>
      </c>
      <c r="J41" s="966">
        <f t="shared" si="6"/>
        <v>99.125</v>
      </c>
      <c r="K41" s="128"/>
      <c r="L41" s="381"/>
      <c r="M41" s="381"/>
      <c r="N41" s="978"/>
      <c r="O41" s="128"/>
      <c r="P41" s="133">
        <f t="shared" si="19"/>
        <v>800</v>
      </c>
      <c r="Q41" s="133">
        <f t="shared" si="3"/>
        <v>793</v>
      </c>
      <c r="R41" s="983">
        <f t="shared" si="8"/>
        <v>99.125</v>
      </c>
    </row>
    <row r="42" spans="1:18" s="151" customFormat="1" ht="12" customHeight="1" x14ac:dyDescent="0.2">
      <c r="A42" s="243"/>
      <c r="B42" s="172">
        <f t="shared" si="4"/>
        <v>38</v>
      </c>
      <c r="C42" s="126"/>
      <c r="D42" s="160"/>
      <c r="E42" s="292" t="s">
        <v>669</v>
      </c>
      <c r="F42" s="363">
        <v>633</v>
      </c>
      <c r="G42" s="365" t="s">
        <v>247</v>
      </c>
      <c r="H42" s="398">
        <v>500</v>
      </c>
      <c r="I42" s="398">
        <f>44+20+27.6+31.5+44.07+62.8</f>
        <v>229.96999999999997</v>
      </c>
      <c r="J42" s="966">
        <f t="shared" si="6"/>
        <v>45.993999999999993</v>
      </c>
      <c r="K42" s="128"/>
      <c r="L42" s="381"/>
      <c r="M42" s="381"/>
      <c r="N42" s="978"/>
      <c r="O42" s="128"/>
      <c r="P42" s="133">
        <f t="shared" si="19"/>
        <v>500</v>
      </c>
      <c r="Q42" s="133">
        <f t="shared" si="3"/>
        <v>229.96999999999997</v>
      </c>
      <c r="R42" s="983">
        <f t="shared" si="8"/>
        <v>45.993999999999993</v>
      </c>
    </row>
    <row r="43" spans="1:18" s="151" customFormat="1" ht="12" customHeight="1" x14ac:dyDescent="0.2">
      <c r="A43" s="243"/>
      <c r="B43" s="172">
        <f t="shared" si="4"/>
        <v>39</v>
      </c>
      <c r="C43" s="126"/>
      <c r="D43" s="160"/>
      <c r="E43" s="292" t="s">
        <v>669</v>
      </c>
      <c r="F43" s="363">
        <v>637</v>
      </c>
      <c r="G43" s="365" t="s">
        <v>682</v>
      </c>
      <c r="H43" s="398">
        <v>20000</v>
      </c>
      <c r="I43" s="398">
        <f>11895+200+4</f>
        <v>12099</v>
      </c>
      <c r="J43" s="966">
        <f t="shared" si="6"/>
        <v>60.494999999999997</v>
      </c>
      <c r="K43" s="128"/>
      <c r="L43" s="381"/>
      <c r="M43" s="381"/>
      <c r="N43" s="978"/>
      <c r="O43" s="128"/>
      <c r="P43" s="133">
        <f t="shared" si="19"/>
        <v>20000</v>
      </c>
      <c r="Q43" s="133">
        <f t="shared" si="3"/>
        <v>12099</v>
      </c>
      <c r="R43" s="983">
        <f t="shared" si="8"/>
        <v>60.494999999999997</v>
      </c>
    </row>
    <row r="44" spans="1:18" s="151" customFormat="1" ht="12" customHeight="1" x14ac:dyDescent="0.2">
      <c r="A44" s="243"/>
      <c r="B44" s="172">
        <f t="shared" si="4"/>
        <v>40</v>
      </c>
      <c r="C44" s="126"/>
      <c r="D44" s="160"/>
      <c r="E44" s="292" t="s">
        <v>669</v>
      </c>
      <c r="F44" s="363">
        <v>620</v>
      </c>
      <c r="G44" s="365" t="s">
        <v>240</v>
      </c>
      <c r="H44" s="398">
        <v>1710</v>
      </c>
      <c r="I44" s="398">
        <f>1926-I45</f>
        <v>1461</v>
      </c>
      <c r="J44" s="966">
        <f t="shared" si="6"/>
        <v>85.438596491228068</v>
      </c>
      <c r="K44" s="128"/>
      <c r="L44" s="381"/>
      <c r="M44" s="381"/>
      <c r="N44" s="978"/>
      <c r="O44" s="128"/>
      <c r="P44" s="133">
        <f t="shared" si="19"/>
        <v>1710</v>
      </c>
      <c r="Q44" s="133">
        <f t="shared" si="3"/>
        <v>1461</v>
      </c>
      <c r="R44" s="983">
        <f t="shared" si="8"/>
        <v>85.438596491228068</v>
      </c>
    </row>
    <row r="45" spans="1:18" s="151" customFormat="1" ht="12" customHeight="1" x14ac:dyDescent="0.2">
      <c r="A45" s="243"/>
      <c r="B45" s="172">
        <f t="shared" si="4"/>
        <v>41</v>
      </c>
      <c r="C45" s="126"/>
      <c r="D45" s="160"/>
      <c r="E45" s="292" t="s">
        <v>669</v>
      </c>
      <c r="F45" s="363">
        <v>620</v>
      </c>
      <c r="G45" s="365" t="s">
        <v>816</v>
      </c>
      <c r="H45" s="398">
        <v>500</v>
      </c>
      <c r="I45" s="398">
        <v>465</v>
      </c>
      <c r="J45" s="966">
        <f t="shared" si="6"/>
        <v>93</v>
      </c>
      <c r="K45" s="128"/>
      <c r="L45" s="381"/>
      <c r="M45" s="381"/>
      <c r="N45" s="978"/>
      <c r="O45" s="128"/>
      <c r="P45" s="133">
        <f t="shared" si="19"/>
        <v>500</v>
      </c>
      <c r="Q45" s="133">
        <f t="shared" si="3"/>
        <v>465</v>
      </c>
      <c r="R45" s="983">
        <f t="shared" si="8"/>
        <v>93</v>
      </c>
    </row>
    <row r="46" spans="1:18" s="151" customFormat="1" ht="12" customHeight="1" x14ac:dyDescent="0.2">
      <c r="A46" s="243"/>
      <c r="B46" s="172">
        <f t="shared" si="4"/>
        <v>42</v>
      </c>
      <c r="C46" s="126"/>
      <c r="D46" s="160"/>
      <c r="E46" s="292" t="s">
        <v>669</v>
      </c>
      <c r="F46" s="568">
        <v>716</v>
      </c>
      <c r="G46" s="193" t="s">
        <v>701</v>
      </c>
      <c r="H46" s="570"/>
      <c r="I46" s="570"/>
      <c r="J46" s="966"/>
      <c r="K46" s="128"/>
      <c r="L46" s="381">
        <f>50000-15000-2063</f>
        <v>32937</v>
      </c>
      <c r="M46" s="381">
        <v>0</v>
      </c>
      <c r="N46" s="978">
        <f t="shared" si="16"/>
        <v>0</v>
      </c>
      <c r="O46" s="128"/>
      <c r="P46" s="133">
        <f t="shared" si="19"/>
        <v>32937</v>
      </c>
      <c r="Q46" s="133">
        <f t="shared" si="3"/>
        <v>0</v>
      </c>
      <c r="R46" s="983">
        <f t="shared" si="8"/>
        <v>0</v>
      </c>
    </row>
    <row r="47" spans="1:18" s="151" customFormat="1" ht="12" customHeight="1" x14ac:dyDescent="0.2">
      <c r="A47" s="243"/>
      <c r="B47" s="172">
        <f t="shared" si="4"/>
        <v>43</v>
      </c>
      <c r="C47" s="126"/>
      <c r="D47" s="160"/>
      <c r="E47" s="292" t="s">
        <v>669</v>
      </c>
      <c r="F47" s="568">
        <v>717</v>
      </c>
      <c r="G47" s="193" t="s">
        <v>638</v>
      </c>
      <c r="H47" s="570"/>
      <c r="I47" s="570"/>
      <c r="J47" s="966"/>
      <c r="K47" s="128"/>
      <c r="L47" s="381">
        <f>150000-72000-11383-2000</f>
        <v>64617</v>
      </c>
      <c r="M47" s="381">
        <v>0</v>
      </c>
      <c r="N47" s="978">
        <f t="shared" si="16"/>
        <v>0</v>
      </c>
      <c r="O47" s="128"/>
      <c r="P47" s="133">
        <f t="shared" si="19"/>
        <v>64617</v>
      </c>
      <c r="Q47" s="133">
        <f t="shared" si="3"/>
        <v>0</v>
      </c>
      <c r="R47" s="983">
        <f t="shared" si="8"/>
        <v>0</v>
      </c>
    </row>
    <row r="48" spans="1:18" s="151" customFormat="1" ht="12" customHeight="1" x14ac:dyDescent="0.2">
      <c r="A48" s="243"/>
      <c r="B48" s="172">
        <f t="shared" si="4"/>
        <v>44</v>
      </c>
      <c r="C48" s="126"/>
      <c r="D48" s="160"/>
      <c r="E48" s="292" t="s">
        <v>669</v>
      </c>
      <c r="F48" s="130">
        <v>717</v>
      </c>
      <c r="G48" s="193" t="s">
        <v>639</v>
      </c>
      <c r="H48" s="570"/>
      <c r="I48" s="570"/>
      <c r="J48" s="966"/>
      <c r="K48" s="128"/>
      <c r="L48" s="381">
        <v>7000</v>
      </c>
      <c r="M48" s="381">
        <v>4452</v>
      </c>
      <c r="N48" s="978">
        <f t="shared" si="16"/>
        <v>63.6</v>
      </c>
      <c r="O48" s="128"/>
      <c r="P48" s="133">
        <f t="shared" si="19"/>
        <v>7000</v>
      </c>
      <c r="Q48" s="133">
        <f t="shared" si="3"/>
        <v>4452</v>
      </c>
      <c r="R48" s="983">
        <f t="shared" si="8"/>
        <v>63.6</v>
      </c>
    </row>
    <row r="49" spans="1:18" ht="15" customHeight="1" x14ac:dyDescent="0.25">
      <c r="B49" s="172">
        <f t="shared" si="4"/>
        <v>45</v>
      </c>
      <c r="C49" s="21">
        <v>4</v>
      </c>
      <c r="D49" s="122" t="s">
        <v>127</v>
      </c>
      <c r="E49" s="122"/>
      <c r="F49" s="22"/>
      <c r="G49" s="194"/>
      <c r="H49" s="413">
        <v>0</v>
      </c>
      <c r="I49" s="413">
        <v>0</v>
      </c>
      <c r="J49" s="972">
        <v>0</v>
      </c>
      <c r="K49" s="110"/>
      <c r="L49" s="378">
        <v>0</v>
      </c>
      <c r="M49" s="378">
        <v>0</v>
      </c>
      <c r="N49" s="971">
        <v>0</v>
      </c>
      <c r="O49" s="110"/>
      <c r="P49" s="373">
        <f t="shared" si="19"/>
        <v>0</v>
      </c>
      <c r="Q49" s="373">
        <f t="shared" si="3"/>
        <v>0</v>
      </c>
      <c r="R49" s="984">
        <v>0</v>
      </c>
    </row>
    <row r="50" spans="1:18" ht="15" customHeight="1" x14ac:dyDescent="0.25">
      <c r="B50" s="172">
        <f t="shared" si="4"/>
        <v>46</v>
      </c>
      <c r="C50" s="21">
        <v>5</v>
      </c>
      <c r="D50" s="639" t="s">
        <v>442</v>
      </c>
      <c r="E50" s="122"/>
      <c r="F50" s="22"/>
      <c r="G50" s="194"/>
      <c r="H50" s="413">
        <v>0</v>
      </c>
      <c r="I50" s="413">
        <v>0</v>
      </c>
      <c r="J50" s="972">
        <v>0</v>
      </c>
      <c r="K50" s="110"/>
      <c r="L50" s="378">
        <v>0</v>
      </c>
      <c r="M50" s="378">
        <v>0</v>
      </c>
      <c r="N50" s="971">
        <v>0</v>
      </c>
      <c r="O50" s="110"/>
      <c r="P50" s="373">
        <f t="shared" si="19"/>
        <v>0</v>
      </c>
      <c r="Q50" s="373">
        <f t="shared" si="3"/>
        <v>0</v>
      </c>
      <c r="R50" s="984">
        <v>0</v>
      </c>
    </row>
    <row r="51" spans="1:18" ht="15" customHeight="1" x14ac:dyDescent="0.25">
      <c r="B51" s="172">
        <f t="shared" si="4"/>
        <v>47</v>
      </c>
      <c r="C51" s="21">
        <v>6</v>
      </c>
      <c r="D51" s="122" t="s">
        <v>128</v>
      </c>
      <c r="E51" s="122"/>
      <c r="F51" s="22"/>
      <c r="G51" s="194"/>
      <c r="H51" s="413">
        <v>0</v>
      </c>
      <c r="I51" s="413">
        <v>0</v>
      </c>
      <c r="J51" s="972">
        <v>0</v>
      </c>
      <c r="K51" s="110"/>
      <c r="L51" s="378">
        <v>0</v>
      </c>
      <c r="M51" s="378">
        <v>0</v>
      </c>
      <c r="N51" s="971">
        <v>0</v>
      </c>
      <c r="O51" s="110"/>
      <c r="P51" s="373">
        <f t="shared" si="19"/>
        <v>0</v>
      </c>
      <c r="Q51" s="373">
        <f t="shared" si="3"/>
        <v>0</v>
      </c>
      <c r="R51" s="984">
        <v>0</v>
      </c>
    </row>
    <row r="52" spans="1:18" ht="15" customHeight="1" x14ac:dyDescent="0.25">
      <c r="B52" s="172">
        <f t="shared" si="4"/>
        <v>48</v>
      </c>
      <c r="C52" s="21">
        <v>7</v>
      </c>
      <c r="D52" s="122" t="s">
        <v>483</v>
      </c>
      <c r="E52" s="122"/>
      <c r="F52" s="22"/>
      <c r="G52" s="194"/>
      <c r="H52" s="413">
        <f>SUM(H53:H58)</f>
        <v>65600</v>
      </c>
      <c r="I52" s="413">
        <f t="shared" ref="I52" si="20">SUM(I53:I58)</f>
        <v>61051</v>
      </c>
      <c r="J52" s="972">
        <f t="shared" si="6"/>
        <v>93.065548780487802</v>
      </c>
      <c r="K52" s="110"/>
      <c r="L52" s="378">
        <v>0</v>
      </c>
      <c r="M52" s="378">
        <v>0</v>
      </c>
      <c r="N52" s="971">
        <v>0</v>
      </c>
      <c r="O52" s="110"/>
      <c r="P52" s="373">
        <f t="shared" si="19"/>
        <v>65600</v>
      </c>
      <c r="Q52" s="373">
        <f t="shared" si="3"/>
        <v>61051</v>
      </c>
      <c r="R52" s="984">
        <f t="shared" si="8"/>
        <v>93.065548780487802</v>
      </c>
    </row>
    <row r="53" spans="1:18" s="129" customFormat="1" ht="12" customHeight="1" x14ac:dyDescent="0.2">
      <c r="A53" s="242"/>
      <c r="B53" s="172">
        <f t="shared" si="4"/>
        <v>49</v>
      </c>
      <c r="C53" s="126"/>
      <c r="D53" s="126"/>
      <c r="E53" s="568" t="s">
        <v>281</v>
      </c>
      <c r="F53" s="568">
        <v>637</v>
      </c>
      <c r="G53" s="193" t="s">
        <v>630</v>
      </c>
      <c r="H53" s="570">
        <v>8500</v>
      </c>
      <c r="I53" s="570">
        <v>7560</v>
      </c>
      <c r="J53" s="966">
        <f t="shared" si="6"/>
        <v>88.941176470588232</v>
      </c>
      <c r="K53" s="128"/>
      <c r="L53" s="571"/>
      <c r="M53" s="571"/>
      <c r="N53" s="979"/>
      <c r="O53" s="128"/>
      <c r="P53" s="572">
        <f t="shared" si="19"/>
        <v>8500</v>
      </c>
      <c r="Q53" s="572">
        <f t="shared" si="3"/>
        <v>7560</v>
      </c>
      <c r="R53" s="986">
        <f t="shared" si="8"/>
        <v>88.941176470588232</v>
      </c>
    </row>
    <row r="54" spans="1:18" s="129" customFormat="1" ht="12" customHeight="1" x14ac:dyDescent="0.2">
      <c r="A54" s="242"/>
      <c r="B54" s="172">
        <f t="shared" si="4"/>
        <v>50</v>
      </c>
      <c r="C54" s="126"/>
      <c r="D54" s="126"/>
      <c r="E54" s="568" t="s">
        <v>281</v>
      </c>
      <c r="F54" s="130">
        <v>637</v>
      </c>
      <c r="G54" s="193" t="s">
        <v>564</v>
      </c>
      <c r="H54" s="570">
        <v>20000</v>
      </c>
      <c r="I54" s="570">
        <v>19966</v>
      </c>
      <c r="J54" s="966">
        <f t="shared" si="6"/>
        <v>99.83</v>
      </c>
      <c r="K54" s="128"/>
      <c r="L54" s="571"/>
      <c r="M54" s="571"/>
      <c r="N54" s="979"/>
      <c r="O54" s="128"/>
      <c r="P54" s="572">
        <f t="shared" si="19"/>
        <v>20000</v>
      </c>
      <c r="Q54" s="572">
        <f t="shared" si="3"/>
        <v>19966</v>
      </c>
      <c r="R54" s="986">
        <f t="shared" si="8"/>
        <v>99.83</v>
      </c>
    </row>
    <row r="55" spans="1:18" s="129" customFormat="1" ht="12" customHeight="1" x14ac:dyDescent="0.2">
      <c r="A55" s="242"/>
      <c r="B55" s="172">
        <f t="shared" si="4"/>
        <v>51</v>
      </c>
      <c r="C55" s="126"/>
      <c r="D55" s="126"/>
      <c r="E55" s="568" t="s">
        <v>281</v>
      </c>
      <c r="F55" s="130">
        <v>620</v>
      </c>
      <c r="G55" s="193" t="s">
        <v>629</v>
      </c>
      <c r="H55" s="570">
        <v>5600</v>
      </c>
      <c r="I55" s="398">
        <v>5600</v>
      </c>
      <c r="J55" s="966">
        <f t="shared" si="6"/>
        <v>100</v>
      </c>
      <c r="K55" s="128"/>
      <c r="L55" s="571"/>
      <c r="M55" s="571"/>
      <c r="N55" s="979"/>
      <c r="O55" s="128"/>
      <c r="P55" s="572">
        <f t="shared" si="19"/>
        <v>5600</v>
      </c>
      <c r="Q55" s="572">
        <f t="shared" si="3"/>
        <v>5600</v>
      </c>
      <c r="R55" s="986">
        <f t="shared" si="8"/>
        <v>100</v>
      </c>
    </row>
    <row r="56" spans="1:18" s="129" customFormat="1" ht="12" customHeight="1" x14ac:dyDescent="0.2">
      <c r="A56" s="242"/>
      <c r="B56" s="172">
        <f t="shared" si="4"/>
        <v>52</v>
      </c>
      <c r="C56" s="126"/>
      <c r="D56" s="126"/>
      <c r="E56" s="568" t="s">
        <v>281</v>
      </c>
      <c r="F56" s="130">
        <v>633</v>
      </c>
      <c r="G56" s="193" t="s">
        <v>497</v>
      </c>
      <c r="H56" s="570">
        <v>5500</v>
      </c>
      <c r="I56" s="570">
        <v>3027</v>
      </c>
      <c r="J56" s="966">
        <f t="shared" si="6"/>
        <v>55.036363636363639</v>
      </c>
      <c r="K56" s="128"/>
      <c r="L56" s="571"/>
      <c r="M56" s="571"/>
      <c r="N56" s="979"/>
      <c r="O56" s="128"/>
      <c r="P56" s="572">
        <f t="shared" si="19"/>
        <v>5500</v>
      </c>
      <c r="Q56" s="572">
        <f t="shared" si="3"/>
        <v>3027</v>
      </c>
      <c r="R56" s="986">
        <f t="shared" si="8"/>
        <v>55.036363636363639</v>
      </c>
    </row>
    <row r="57" spans="1:18" s="129" customFormat="1" ht="12" customHeight="1" x14ac:dyDescent="0.2">
      <c r="A57" s="242"/>
      <c r="B57" s="172">
        <f t="shared" ref="B57:B70" si="21">B56+1</f>
        <v>53</v>
      </c>
      <c r="C57" s="126"/>
      <c r="D57" s="126"/>
      <c r="E57" s="568" t="s">
        <v>281</v>
      </c>
      <c r="F57" s="130">
        <v>632</v>
      </c>
      <c r="G57" s="193" t="s">
        <v>282</v>
      </c>
      <c r="H57" s="570">
        <v>20000</v>
      </c>
      <c r="I57" s="570">
        <v>19026</v>
      </c>
      <c r="J57" s="966">
        <f t="shared" si="6"/>
        <v>95.13000000000001</v>
      </c>
      <c r="K57" s="128"/>
      <c r="L57" s="571"/>
      <c r="M57" s="571"/>
      <c r="N57" s="979"/>
      <c r="O57" s="128"/>
      <c r="P57" s="572">
        <f t="shared" si="19"/>
        <v>20000</v>
      </c>
      <c r="Q57" s="572">
        <f t="shared" si="3"/>
        <v>19026</v>
      </c>
      <c r="R57" s="986">
        <f t="shared" si="8"/>
        <v>95.13000000000001</v>
      </c>
    </row>
    <row r="58" spans="1:18" s="129" customFormat="1" ht="12" customHeight="1" x14ac:dyDescent="0.2">
      <c r="A58" s="242"/>
      <c r="B58" s="172">
        <f t="shared" si="21"/>
        <v>54</v>
      </c>
      <c r="C58" s="126"/>
      <c r="D58" s="160"/>
      <c r="E58" s="568" t="s">
        <v>281</v>
      </c>
      <c r="F58" s="568">
        <v>637</v>
      </c>
      <c r="G58" s="193" t="s">
        <v>710</v>
      </c>
      <c r="H58" s="570">
        <v>6000</v>
      </c>
      <c r="I58" s="570">
        <v>5872</v>
      </c>
      <c r="J58" s="966">
        <f t="shared" si="6"/>
        <v>97.866666666666674</v>
      </c>
      <c r="K58" s="128"/>
      <c r="L58" s="571"/>
      <c r="M58" s="571"/>
      <c r="N58" s="979"/>
      <c r="O58" s="128"/>
      <c r="P58" s="572">
        <f t="shared" si="19"/>
        <v>6000</v>
      </c>
      <c r="Q58" s="572">
        <f t="shared" si="3"/>
        <v>5872</v>
      </c>
      <c r="R58" s="986">
        <f t="shared" si="8"/>
        <v>97.866666666666674</v>
      </c>
    </row>
    <row r="59" spans="1:18" ht="15" customHeight="1" x14ac:dyDescent="0.25">
      <c r="B59" s="172">
        <f t="shared" si="21"/>
        <v>55</v>
      </c>
      <c r="C59" s="21">
        <v>8</v>
      </c>
      <c r="D59" s="122" t="s">
        <v>484</v>
      </c>
      <c r="E59" s="22"/>
      <c r="F59" s="22"/>
      <c r="G59" s="194"/>
      <c r="H59" s="413">
        <f>H60</f>
        <v>15230</v>
      </c>
      <c r="I59" s="413">
        <f t="shared" ref="I59" si="22">I60</f>
        <v>14969</v>
      </c>
      <c r="J59" s="972">
        <f t="shared" si="6"/>
        <v>98.28627708470124</v>
      </c>
      <c r="K59" s="110"/>
      <c r="L59" s="380">
        <v>0</v>
      </c>
      <c r="M59" s="380">
        <v>0</v>
      </c>
      <c r="N59" s="972">
        <v>0</v>
      </c>
      <c r="O59" s="110"/>
      <c r="P59" s="373">
        <f t="shared" si="19"/>
        <v>15230</v>
      </c>
      <c r="Q59" s="373">
        <f t="shared" si="3"/>
        <v>14969</v>
      </c>
      <c r="R59" s="984">
        <f t="shared" si="8"/>
        <v>98.28627708470124</v>
      </c>
    </row>
    <row r="60" spans="1:18" s="129" customFormat="1" ht="12" customHeight="1" x14ac:dyDescent="0.2">
      <c r="A60" s="242"/>
      <c r="B60" s="172">
        <f t="shared" si="21"/>
        <v>56</v>
      </c>
      <c r="C60" s="126"/>
      <c r="D60" s="126"/>
      <c r="E60" s="568" t="s">
        <v>277</v>
      </c>
      <c r="F60" s="568">
        <v>642</v>
      </c>
      <c r="G60" s="193" t="s">
        <v>301</v>
      </c>
      <c r="H60" s="570">
        <f>SUM(H61:H69)</f>
        <v>15230</v>
      </c>
      <c r="I60" s="570">
        <f>SUM(I61:I69)</f>
        <v>14969</v>
      </c>
      <c r="J60" s="966">
        <f t="shared" si="6"/>
        <v>98.28627708470124</v>
      </c>
      <c r="K60" s="128"/>
      <c r="L60" s="382"/>
      <c r="M60" s="382"/>
      <c r="N60" s="979"/>
      <c r="O60" s="128"/>
      <c r="P60" s="572">
        <f t="shared" si="19"/>
        <v>15230</v>
      </c>
      <c r="Q60" s="572">
        <f t="shared" si="3"/>
        <v>14969</v>
      </c>
      <c r="R60" s="986">
        <f t="shared" si="8"/>
        <v>98.28627708470124</v>
      </c>
    </row>
    <row r="61" spans="1:18" s="129" customFormat="1" ht="12" customHeight="1" x14ac:dyDescent="0.2">
      <c r="A61" s="242"/>
      <c r="B61" s="172">
        <f t="shared" si="21"/>
        <v>57</v>
      </c>
      <c r="C61" s="126"/>
      <c r="D61" s="126"/>
      <c r="E61" s="568"/>
      <c r="F61" s="568"/>
      <c r="G61" s="193" t="s">
        <v>479</v>
      </c>
      <c r="H61" s="570">
        <v>500</v>
      </c>
      <c r="I61" s="570">
        <v>500</v>
      </c>
      <c r="J61" s="966">
        <f t="shared" si="6"/>
        <v>100</v>
      </c>
      <c r="K61" s="128"/>
      <c r="L61" s="382"/>
      <c r="M61" s="382"/>
      <c r="N61" s="979"/>
      <c r="O61" s="128"/>
      <c r="P61" s="572">
        <f t="shared" si="19"/>
        <v>500</v>
      </c>
      <c r="Q61" s="572">
        <f t="shared" si="3"/>
        <v>500</v>
      </c>
      <c r="R61" s="986">
        <f t="shared" si="8"/>
        <v>100</v>
      </c>
    </row>
    <row r="62" spans="1:18" s="129" customFormat="1" ht="12" customHeight="1" x14ac:dyDescent="0.2">
      <c r="A62" s="242"/>
      <c r="B62" s="172">
        <f t="shared" si="21"/>
        <v>58</v>
      </c>
      <c r="C62" s="126"/>
      <c r="D62" s="126"/>
      <c r="E62" s="568"/>
      <c r="F62" s="568"/>
      <c r="G62" s="193" t="s">
        <v>293</v>
      </c>
      <c r="H62" s="570">
        <v>150</v>
      </c>
      <c r="I62" s="570">
        <v>0</v>
      </c>
      <c r="J62" s="966">
        <f t="shared" si="6"/>
        <v>0</v>
      </c>
      <c r="K62" s="128"/>
      <c r="L62" s="382"/>
      <c r="M62" s="382"/>
      <c r="N62" s="979"/>
      <c r="O62" s="128"/>
      <c r="P62" s="572">
        <f t="shared" si="19"/>
        <v>150</v>
      </c>
      <c r="Q62" s="572">
        <f t="shared" si="3"/>
        <v>0</v>
      </c>
      <c r="R62" s="986">
        <f t="shared" si="8"/>
        <v>0</v>
      </c>
    </row>
    <row r="63" spans="1:18" s="129" customFormat="1" ht="12" customHeight="1" x14ac:dyDescent="0.2">
      <c r="A63" s="242"/>
      <c r="B63" s="172">
        <f t="shared" si="21"/>
        <v>59</v>
      </c>
      <c r="C63" s="126"/>
      <c r="D63" s="126"/>
      <c r="E63" s="568"/>
      <c r="F63" s="568"/>
      <c r="G63" s="193" t="s">
        <v>294</v>
      </c>
      <c r="H63" s="570">
        <v>5600</v>
      </c>
      <c r="I63" s="570">
        <v>5533</v>
      </c>
      <c r="J63" s="966">
        <f t="shared" si="6"/>
        <v>98.803571428571431</v>
      </c>
      <c r="K63" s="128"/>
      <c r="L63" s="382"/>
      <c r="M63" s="382"/>
      <c r="N63" s="979"/>
      <c r="O63" s="128"/>
      <c r="P63" s="572">
        <f t="shared" si="19"/>
        <v>5600</v>
      </c>
      <c r="Q63" s="572">
        <f t="shared" si="3"/>
        <v>5533</v>
      </c>
      <c r="R63" s="986">
        <f t="shared" si="8"/>
        <v>98.803571428571431</v>
      </c>
    </row>
    <row r="64" spans="1:18" s="129" customFormat="1" ht="12" customHeight="1" x14ac:dyDescent="0.2">
      <c r="A64" s="242"/>
      <c r="B64" s="172">
        <f t="shared" si="21"/>
        <v>60</v>
      </c>
      <c r="C64" s="126"/>
      <c r="D64" s="126"/>
      <c r="E64" s="568"/>
      <c r="F64" s="568"/>
      <c r="G64" s="193" t="s">
        <v>420</v>
      </c>
      <c r="H64" s="570">
        <v>150</v>
      </c>
      <c r="I64" s="570">
        <v>150</v>
      </c>
      <c r="J64" s="966">
        <f t="shared" si="6"/>
        <v>100</v>
      </c>
      <c r="K64" s="128"/>
      <c r="L64" s="382"/>
      <c r="M64" s="382"/>
      <c r="N64" s="979"/>
      <c r="O64" s="128"/>
      <c r="P64" s="572">
        <f t="shared" si="19"/>
        <v>150</v>
      </c>
      <c r="Q64" s="572">
        <f t="shared" si="3"/>
        <v>150</v>
      </c>
      <c r="R64" s="986">
        <f t="shared" si="8"/>
        <v>100</v>
      </c>
    </row>
    <row r="65" spans="1:18" s="129" customFormat="1" ht="12" customHeight="1" x14ac:dyDescent="0.2">
      <c r="A65" s="242"/>
      <c r="B65" s="172">
        <f t="shared" si="21"/>
        <v>61</v>
      </c>
      <c r="C65" s="126"/>
      <c r="D65" s="126"/>
      <c r="E65" s="568"/>
      <c r="F65" s="568"/>
      <c r="G65" s="193" t="s">
        <v>441</v>
      </c>
      <c r="H65" s="570">
        <v>120</v>
      </c>
      <c r="I65" s="570">
        <v>120</v>
      </c>
      <c r="J65" s="966">
        <f t="shared" si="6"/>
        <v>100</v>
      </c>
      <c r="K65" s="128"/>
      <c r="L65" s="382"/>
      <c r="M65" s="382"/>
      <c r="N65" s="979"/>
      <c r="O65" s="128"/>
      <c r="P65" s="572">
        <f t="shared" si="19"/>
        <v>120</v>
      </c>
      <c r="Q65" s="572">
        <f t="shared" si="3"/>
        <v>120</v>
      </c>
      <c r="R65" s="986">
        <f t="shared" si="8"/>
        <v>100</v>
      </c>
    </row>
    <row r="66" spans="1:18" s="129" customFormat="1" ht="12" customHeight="1" x14ac:dyDescent="0.2">
      <c r="A66" s="242"/>
      <c r="B66" s="172">
        <f t="shared" si="21"/>
        <v>62</v>
      </c>
      <c r="C66" s="126"/>
      <c r="D66" s="160"/>
      <c r="E66" s="568"/>
      <c r="F66" s="568"/>
      <c r="G66" s="193" t="s">
        <v>295</v>
      </c>
      <c r="H66" s="570">
        <v>200</v>
      </c>
      <c r="I66" s="570">
        <v>200</v>
      </c>
      <c r="J66" s="966">
        <f t="shared" si="6"/>
        <v>100</v>
      </c>
      <c r="K66" s="128"/>
      <c r="L66" s="382"/>
      <c r="M66" s="382"/>
      <c r="N66" s="979"/>
      <c r="O66" s="128"/>
      <c r="P66" s="572">
        <f t="shared" si="19"/>
        <v>200</v>
      </c>
      <c r="Q66" s="572">
        <f t="shared" si="3"/>
        <v>200</v>
      </c>
      <c r="R66" s="986">
        <f t="shared" si="8"/>
        <v>100</v>
      </c>
    </row>
    <row r="67" spans="1:18" s="129" customFormat="1" ht="12" customHeight="1" x14ac:dyDescent="0.2">
      <c r="A67" s="242"/>
      <c r="B67" s="172">
        <f t="shared" si="21"/>
        <v>63</v>
      </c>
      <c r="C67" s="131"/>
      <c r="D67" s="362"/>
      <c r="E67" s="568"/>
      <c r="F67" s="568"/>
      <c r="G67" s="204" t="s">
        <v>525</v>
      </c>
      <c r="H67" s="570">
        <v>8300</v>
      </c>
      <c r="I67" s="570">
        <v>8300</v>
      </c>
      <c r="J67" s="966">
        <f t="shared" si="6"/>
        <v>100</v>
      </c>
      <c r="K67" s="128"/>
      <c r="L67" s="382"/>
      <c r="M67" s="382"/>
      <c r="N67" s="979"/>
      <c r="O67" s="128"/>
      <c r="P67" s="133">
        <f t="shared" si="19"/>
        <v>8300</v>
      </c>
      <c r="Q67" s="133">
        <f t="shared" si="3"/>
        <v>8300</v>
      </c>
      <c r="R67" s="983">
        <f t="shared" si="8"/>
        <v>100</v>
      </c>
    </row>
    <row r="68" spans="1:18" s="129" customFormat="1" ht="12" customHeight="1" x14ac:dyDescent="0.2">
      <c r="A68" s="242"/>
      <c r="B68" s="172">
        <f t="shared" si="21"/>
        <v>64</v>
      </c>
      <c r="C68" s="131"/>
      <c r="D68" s="362"/>
      <c r="E68" s="568"/>
      <c r="F68" s="568"/>
      <c r="G68" s="204" t="s">
        <v>526</v>
      </c>
      <c r="H68" s="570">
        <v>170</v>
      </c>
      <c r="I68" s="570">
        <v>166</v>
      </c>
      <c r="J68" s="966">
        <f t="shared" si="6"/>
        <v>97.647058823529406</v>
      </c>
      <c r="K68" s="128"/>
      <c r="L68" s="382"/>
      <c r="M68" s="382"/>
      <c r="N68" s="979"/>
      <c r="O68" s="128"/>
      <c r="P68" s="133">
        <f t="shared" si="19"/>
        <v>170</v>
      </c>
      <c r="Q68" s="133">
        <f t="shared" si="3"/>
        <v>166</v>
      </c>
      <c r="R68" s="983">
        <f t="shared" si="8"/>
        <v>97.647058823529406</v>
      </c>
    </row>
    <row r="69" spans="1:18" s="129" customFormat="1" ht="12" customHeight="1" x14ac:dyDescent="0.2">
      <c r="A69" s="242"/>
      <c r="B69" s="172">
        <f t="shared" si="21"/>
        <v>65</v>
      </c>
      <c r="C69" s="513"/>
      <c r="D69" s="514"/>
      <c r="E69" s="568"/>
      <c r="F69" s="568"/>
      <c r="G69" s="515" t="s">
        <v>588</v>
      </c>
      <c r="H69" s="491">
        <v>40</v>
      </c>
      <c r="I69" s="491">
        <v>0</v>
      </c>
      <c r="J69" s="968">
        <f t="shared" si="6"/>
        <v>0</v>
      </c>
      <c r="K69" s="128"/>
      <c r="L69" s="382"/>
      <c r="M69" s="382"/>
      <c r="N69" s="979"/>
      <c r="O69" s="128"/>
      <c r="P69" s="133">
        <f t="shared" si="19"/>
        <v>40</v>
      </c>
      <c r="Q69" s="133">
        <f t="shared" ref="Q69:Q70" si="23">I69+M69</f>
        <v>0</v>
      </c>
      <c r="R69" s="983">
        <f t="shared" si="8"/>
        <v>0</v>
      </c>
    </row>
    <row r="70" spans="1:18" ht="15" customHeight="1" thickBot="1" x14ac:dyDescent="0.3">
      <c r="B70" s="172">
        <f t="shared" si="21"/>
        <v>66</v>
      </c>
      <c r="C70" s="278">
        <v>9</v>
      </c>
      <c r="D70" s="279" t="s">
        <v>129</v>
      </c>
      <c r="E70" s="280"/>
      <c r="F70" s="280"/>
      <c r="G70" s="281"/>
      <c r="H70" s="418">
        <v>14893</v>
      </c>
      <c r="I70" s="418">
        <v>15281</v>
      </c>
      <c r="J70" s="973">
        <f t="shared" ref="J70" si="24">I70/H70*100</f>
        <v>102.60525078896126</v>
      </c>
      <c r="K70" s="118"/>
      <c r="L70" s="383">
        <v>0</v>
      </c>
      <c r="M70" s="383">
        <v>0</v>
      </c>
      <c r="N70" s="973">
        <v>0</v>
      </c>
      <c r="O70" s="118"/>
      <c r="P70" s="375">
        <f t="shared" si="19"/>
        <v>14893</v>
      </c>
      <c r="Q70" s="375">
        <f t="shared" si="23"/>
        <v>15281</v>
      </c>
      <c r="R70" s="987">
        <f t="shared" ref="R70" si="25">Q70/P70*100</f>
        <v>102.60525078896126</v>
      </c>
    </row>
    <row r="71" spans="1:18" ht="10.5" customHeight="1" x14ac:dyDescent="0.2">
      <c r="B71" s="306"/>
      <c r="C71" s="307"/>
      <c r="D71" s="129"/>
      <c r="E71" s="129"/>
      <c r="F71" s="129"/>
      <c r="G71" s="129"/>
      <c r="H71" s="249"/>
      <c r="I71" s="249"/>
      <c r="J71" s="866"/>
      <c r="K71" s="249"/>
      <c r="L71" s="249"/>
      <c r="M71" s="249"/>
      <c r="N71" s="866"/>
      <c r="O71" s="249"/>
      <c r="P71" s="249"/>
    </row>
    <row r="72" spans="1:18" ht="10.5" customHeight="1" x14ac:dyDescent="0.2">
      <c r="B72" s="306"/>
      <c r="C72" s="307"/>
      <c r="D72" s="129"/>
      <c r="E72" s="129"/>
      <c r="F72" s="129"/>
      <c r="G72" s="129"/>
      <c r="H72" s="407"/>
      <c r="I72" s="407"/>
      <c r="J72" s="867"/>
      <c r="K72" s="249"/>
      <c r="L72" s="249"/>
      <c r="M72" s="249"/>
      <c r="N72" s="866"/>
      <c r="O72" s="249"/>
      <c r="P72" s="249"/>
    </row>
    <row r="74" spans="1:18" x14ac:dyDescent="0.2">
      <c r="H74" s="680"/>
      <c r="I74" s="680"/>
      <c r="J74" s="868"/>
      <c r="K74" s="680"/>
      <c r="L74" s="680"/>
      <c r="M74" s="680"/>
      <c r="N74" s="868"/>
      <c r="O74" s="680"/>
      <c r="P74" s="680"/>
    </row>
    <row r="78" spans="1:18" x14ac:dyDescent="0.2">
      <c r="L78" s="680"/>
      <c r="M78" s="680"/>
      <c r="N78" s="868"/>
    </row>
  </sheetData>
  <mergeCells count="21">
    <mergeCell ref="Q2:Q4"/>
    <mergeCell ref="R2:R4"/>
    <mergeCell ref="B2:N2"/>
    <mergeCell ref="B1:P1"/>
    <mergeCell ref="P2:P4"/>
    <mergeCell ref="C3:C4"/>
    <mergeCell ref="D3:D4"/>
    <mergeCell ref="H3:H4"/>
    <mergeCell ref="L3:L4"/>
    <mergeCell ref="I3:I4"/>
    <mergeCell ref="J3:J4"/>
    <mergeCell ref="M3:M4"/>
    <mergeCell ref="N3:N4"/>
    <mergeCell ref="E17:G17"/>
    <mergeCell ref="E15:G15"/>
    <mergeCell ref="D35:G35"/>
    <mergeCell ref="E3:E4"/>
    <mergeCell ref="F3:F4"/>
    <mergeCell ref="E7:G7"/>
    <mergeCell ref="E13:G13"/>
    <mergeCell ref="E19:G19"/>
  </mergeCells>
  <pageMargins left="0.11811023622047245" right="0.11811023622047245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8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2.7109375" style="76" customWidth="1"/>
    <col min="10" max="10" width="5.5703125" style="76" customWidth="1"/>
    <col min="11" max="11" width="1.28515625" style="76" customWidth="1"/>
    <col min="12" max="13" width="14.28515625" style="76" customWidth="1"/>
    <col min="14" max="14" width="5.5703125" style="76" customWidth="1"/>
    <col min="15" max="15" width="1.5703125" style="76" customWidth="1"/>
    <col min="16" max="16" width="12.85546875" style="76" customWidth="1"/>
    <col min="17" max="17" width="11.42578125" customWidth="1"/>
    <col min="18" max="18" width="5.85546875" customWidth="1"/>
  </cols>
  <sheetData>
    <row r="1" spans="2:18" ht="10.5" customHeight="1" x14ac:dyDescent="0.2">
      <c r="B1" s="306"/>
      <c r="C1" s="307"/>
      <c r="D1" s="129"/>
      <c r="E1" s="129"/>
      <c r="F1" s="129"/>
      <c r="G1" s="129"/>
      <c r="H1" s="407"/>
      <c r="I1" s="407"/>
      <c r="J1" s="407"/>
      <c r="K1" s="249"/>
      <c r="L1" s="249"/>
      <c r="M1" s="249"/>
      <c r="N1" s="249"/>
      <c r="O1" s="249"/>
      <c r="P1" s="249"/>
    </row>
    <row r="2" spans="2:18" ht="29.25" customHeight="1" thickBot="1" x14ac:dyDescent="0.4">
      <c r="B2" s="248" t="s">
        <v>202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2:18" ht="13.5" customHeight="1" thickBot="1" x14ac:dyDescent="0.25">
      <c r="B3" s="1131" t="s">
        <v>632</v>
      </c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3"/>
      <c r="O3" s="116"/>
      <c r="P3" s="1125" t="s">
        <v>716</v>
      </c>
      <c r="Q3" s="1125" t="s">
        <v>886</v>
      </c>
      <c r="R3" s="1128" t="s">
        <v>887</v>
      </c>
    </row>
    <row r="4" spans="2:18" ht="25.5" customHeight="1" thickTop="1" x14ac:dyDescent="0.2">
      <c r="B4" s="552"/>
      <c r="C4" s="1123" t="s">
        <v>478</v>
      </c>
      <c r="D4" s="1123" t="s">
        <v>477</v>
      </c>
      <c r="E4" s="1123" t="s">
        <v>475</v>
      </c>
      <c r="F4" s="1123" t="s">
        <v>476</v>
      </c>
      <c r="G4" s="871" t="s">
        <v>3</v>
      </c>
      <c r="H4" s="1135" t="s">
        <v>902</v>
      </c>
      <c r="I4" s="1135" t="s">
        <v>903</v>
      </c>
      <c r="J4" s="1139" t="s">
        <v>887</v>
      </c>
      <c r="L4" s="1137" t="s">
        <v>904</v>
      </c>
      <c r="M4" s="1137" t="s">
        <v>905</v>
      </c>
      <c r="N4" s="1139" t="s">
        <v>887</v>
      </c>
      <c r="P4" s="1126"/>
      <c r="Q4" s="1126"/>
      <c r="R4" s="1129"/>
    </row>
    <row r="5" spans="2:18" ht="47.25" customHeight="1" thickBot="1" x14ac:dyDescent="0.25">
      <c r="B5" s="552"/>
      <c r="C5" s="1124"/>
      <c r="D5" s="1124"/>
      <c r="E5" s="1124"/>
      <c r="F5" s="1124"/>
      <c r="G5" s="551"/>
      <c r="H5" s="1136"/>
      <c r="I5" s="1136"/>
      <c r="J5" s="1140"/>
      <c r="L5" s="1138"/>
      <c r="M5" s="1138"/>
      <c r="N5" s="1140"/>
      <c r="P5" s="1127"/>
      <c r="Q5" s="1127"/>
      <c r="R5" s="1130"/>
    </row>
    <row r="6" spans="2:18" ht="21" customHeight="1" thickTop="1" thickBot="1" x14ac:dyDescent="0.25">
      <c r="B6" s="651">
        <v>1</v>
      </c>
      <c r="C6" s="235" t="s">
        <v>203</v>
      </c>
      <c r="D6" s="109"/>
      <c r="E6" s="109"/>
      <c r="F6" s="109"/>
      <c r="G6" s="191"/>
      <c r="H6" s="411">
        <f>H7+H12</f>
        <v>70258</v>
      </c>
      <c r="I6" s="411">
        <f t="shared" ref="I6" si="0">I7+I12</f>
        <v>60042</v>
      </c>
      <c r="J6" s="969">
        <f>I6/H6*100</f>
        <v>85.459307125167243</v>
      </c>
      <c r="K6" s="111"/>
      <c r="L6" s="377">
        <f>L7+L12</f>
        <v>0</v>
      </c>
      <c r="M6" s="377">
        <f t="shared" ref="M6" si="1">M7+M12</f>
        <v>0</v>
      </c>
      <c r="N6" s="989"/>
      <c r="O6" s="111"/>
      <c r="P6" s="371">
        <f>H6+L6</f>
        <v>70258</v>
      </c>
      <c r="Q6" s="371">
        <f t="shared" ref="Q6:R15" si="2">I6+M6</f>
        <v>60042</v>
      </c>
      <c r="R6" s="992">
        <f t="shared" si="2"/>
        <v>85.459307125167243</v>
      </c>
    </row>
    <row r="7" spans="2:18" ht="15" customHeight="1" thickTop="1" x14ac:dyDescent="0.25">
      <c r="B7" s="172">
        <f t="shared" ref="B7:B15" si="3">B6+1</f>
        <v>2</v>
      </c>
      <c r="C7" s="23">
        <v>1</v>
      </c>
      <c r="D7" s="123" t="s">
        <v>170</v>
      </c>
      <c r="E7" s="24"/>
      <c r="F7" s="24"/>
      <c r="G7" s="192"/>
      <c r="H7" s="413">
        <f>SUM(H8:H11)</f>
        <v>43300</v>
      </c>
      <c r="I7" s="413">
        <f t="shared" ref="I7" si="4">SUM(I8:I11)</f>
        <v>33947</v>
      </c>
      <c r="J7" s="972">
        <f t="shared" ref="J7:J15" si="5">I7/H7*100</f>
        <v>78.399538106235568</v>
      </c>
      <c r="K7" s="86"/>
      <c r="L7" s="378">
        <v>0</v>
      </c>
      <c r="M7" s="378">
        <v>0</v>
      </c>
      <c r="N7" s="975"/>
      <c r="O7" s="86"/>
      <c r="P7" s="372">
        <f>H7+L7</f>
        <v>43300</v>
      </c>
      <c r="Q7" s="372">
        <f t="shared" si="2"/>
        <v>33947</v>
      </c>
      <c r="R7" s="981">
        <f t="shared" si="2"/>
        <v>78.399538106235568</v>
      </c>
    </row>
    <row r="8" spans="2:18" ht="12" customHeight="1" x14ac:dyDescent="0.2">
      <c r="B8" s="172">
        <f t="shared" si="3"/>
        <v>3</v>
      </c>
      <c r="C8" s="126"/>
      <c r="D8" s="127"/>
      <c r="E8" s="127" t="s">
        <v>426</v>
      </c>
      <c r="F8" s="127" t="s">
        <v>216</v>
      </c>
      <c r="G8" s="193" t="s">
        <v>499</v>
      </c>
      <c r="H8" s="570">
        <f>8500+2000-3200-500</f>
        <v>6800</v>
      </c>
      <c r="I8" s="570">
        <f>787+4913</f>
        <v>5700</v>
      </c>
      <c r="J8" s="966">
        <f t="shared" si="5"/>
        <v>83.82352941176471</v>
      </c>
      <c r="K8" s="128"/>
      <c r="L8" s="571"/>
      <c r="M8" s="571"/>
      <c r="N8" s="976"/>
      <c r="O8" s="128"/>
      <c r="P8" s="133">
        <f>H8+L8</f>
        <v>6800</v>
      </c>
      <c r="Q8" s="133">
        <f t="shared" si="2"/>
        <v>5700</v>
      </c>
      <c r="R8" s="983">
        <f t="shared" si="2"/>
        <v>83.82352941176471</v>
      </c>
    </row>
    <row r="9" spans="2:18" ht="12" customHeight="1" x14ac:dyDescent="0.2">
      <c r="B9" s="172">
        <f>B8+1</f>
        <v>4</v>
      </c>
      <c r="C9" s="126"/>
      <c r="D9" s="127"/>
      <c r="E9" s="127" t="s">
        <v>426</v>
      </c>
      <c r="F9" s="127" t="s">
        <v>200</v>
      </c>
      <c r="G9" s="193" t="s">
        <v>697</v>
      </c>
      <c r="H9" s="570">
        <v>5000</v>
      </c>
      <c r="I9" s="570">
        <v>4653</v>
      </c>
      <c r="J9" s="966">
        <f t="shared" si="5"/>
        <v>93.06</v>
      </c>
      <c r="K9" s="128"/>
      <c r="L9" s="571"/>
      <c r="M9" s="571"/>
      <c r="N9" s="976"/>
      <c r="O9" s="128"/>
      <c r="P9" s="133">
        <f t="shared" ref="P9:P14" si="6">H9+L9</f>
        <v>5000</v>
      </c>
      <c r="Q9" s="133">
        <f t="shared" si="2"/>
        <v>4653</v>
      </c>
      <c r="R9" s="983">
        <f t="shared" si="2"/>
        <v>93.06</v>
      </c>
    </row>
    <row r="10" spans="2:18" ht="12" customHeight="1" x14ac:dyDescent="0.2">
      <c r="B10" s="172">
        <f t="shared" si="3"/>
        <v>5</v>
      </c>
      <c r="C10" s="126"/>
      <c r="D10" s="127"/>
      <c r="E10" s="127" t="s">
        <v>427</v>
      </c>
      <c r="F10" s="127" t="s">
        <v>218</v>
      </c>
      <c r="G10" s="193" t="s">
        <v>480</v>
      </c>
      <c r="H10" s="570">
        <f>19700</f>
        <v>19700</v>
      </c>
      <c r="I10" s="570">
        <v>12445</v>
      </c>
      <c r="J10" s="966">
        <f t="shared" si="5"/>
        <v>63.172588832487307</v>
      </c>
      <c r="K10" s="128"/>
      <c r="L10" s="571"/>
      <c r="M10" s="571"/>
      <c r="N10" s="976"/>
      <c r="O10" s="128"/>
      <c r="P10" s="133">
        <f t="shared" si="6"/>
        <v>19700</v>
      </c>
      <c r="Q10" s="133">
        <f t="shared" si="2"/>
        <v>12445</v>
      </c>
      <c r="R10" s="983">
        <f t="shared" si="2"/>
        <v>63.172588832487307</v>
      </c>
    </row>
    <row r="11" spans="2:18" ht="12" customHeight="1" x14ac:dyDescent="0.2">
      <c r="B11" s="172">
        <f t="shared" si="3"/>
        <v>6</v>
      </c>
      <c r="C11" s="126"/>
      <c r="D11" s="127"/>
      <c r="E11" s="127" t="s">
        <v>426</v>
      </c>
      <c r="F11" s="127" t="s">
        <v>216</v>
      </c>
      <c r="G11" s="193" t="s">
        <v>481</v>
      </c>
      <c r="H11" s="398">
        <v>11800</v>
      </c>
      <c r="I11" s="398">
        <v>11149</v>
      </c>
      <c r="J11" s="966">
        <f t="shared" si="5"/>
        <v>94.483050847457633</v>
      </c>
      <c r="K11" s="128"/>
      <c r="L11" s="571"/>
      <c r="M11" s="571"/>
      <c r="N11" s="976"/>
      <c r="O11" s="128"/>
      <c r="P11" s="133">
        <f t="shared" si="6"/>
        <v>11800</v>
      </c>
      <c r="Q11" s="133">
        <f t="shared" si="2"/>
        <v>11149</v>
      </c>
      <c r="R11" s="983">
        <f t="shared" si="2"/>
        <v>94.483050847457633</v>
      </c>
    </row>
    <row r="12" spans="2:18" ht="15" customHeight="1" x14ac:dyDescent="0.25">
      <c r="B12" s="172">
        <f t="shared" si="3"/>
        <v>7</v>
      </c>
      <c r="C12" s="21">
        <v>2</v>
      </c>
      <c r="D12" s="122" t="s">
        <v>156</v>
      </c>
      <c r="E12" s="22"/>
      <c r="F12" s="22"/>
      <c r="G12" s="194"/>
      <c r="H12" s="413">
        <f>SUM(H13:H15)</f>
        <v>26958</v>
      </c>
      <c r="I12" s="413">
        <f t="shared" ref="I12" si="7">SUM(I13:I15)</f>
        <v>26095</v>
      </c>
      <c r="J12" s="972">
        <f t="shared" si="5"/>
        <v>96.79872394094518</v>
      </c>
      <c r="K12" s="110"/>
      <c r="L12" s="378">
        <v>0</v>
      </c>
      <c r="M12" s="378">
        <v>0</v>
      </c>
      <c r="N12" s="990"/>
      <c r="O12" s="110"/>
      <c r="P12" s="373">
        <f t="shared" si="6"/>
        <v>26958</v>
      </c>
      <c r="Q12" s="373">
        <f t="shared" si="2"/>
        <v>26095</v>
      </c>
      <c r="R12" s="984">
        <f t="shared" si="2"/>
        <v>96.79872394094518</v>
      </c>
    </row>
    <row r="13" spans="2:18" ht="12" customHeight="1" x14ac:dyDescent="0.2">
      <c r="B13" s="172">
        <f t="shared" si="3"/>
        <v>8</v>
      </c>
      <c r="C13" s="126"/>
      <c r="D13" s="126"/>
      <c r="E13" s="130" t="s">
        <v>426</v>
      </c>
      <c r="F13" s="130">
        <v>637</v>
      </c>
      <c r="G13" s="193" t="s">
        <v>498</v>
      </c>
      <c r="H13" s="570">
        <f>6000-1800</f>
        <v>4200</v>
      </c>
      <c r="I13" s="570">
        <f>5337-I14</f>
        <v>4195</v>
      </c>
      <c r="J13" s="966">
        <f t="shared" si="5"/>
        <v>99.88095238095238</v>
      </c>
      <c r="K13" s="128"/>
      <c r="L13" s="570"/>
      <c r="M13" s="570"/>
      <c r="N13" s="870"/>
      <c r="O13" s="128"/>
      <c r="P13" s="572">
        <f t="shared" si="6"/>
        <v>4200</v>
      </c>
      <c r="Q13" s="572">
        <f t="shared" si="2"/>
        <v>4195</v>
      </c>
      <c r="R13" s="986">
        <f t="shared" si="2"/>
        <v>99.88095238095238</v>
      </c>
    </row>
    <row r="14" spans="2:18" ht="12" customHeight="1" x14ac:dyDescent="0.2">
      <c r="B14" s="172">
        <f t="shared" si="3"/>
        <v>9</v>
      </c>
      <c r="C14" s="126"/>
      <c r="D14" s="126"/>
      <c r="E14" s="130" t="s">
        <v>426</v>
      </c>
      <c r="F14" s="130">
        <v>637</v>
      </c>
      <c r="G14" s="193" t="s">
        <v>482</v>
      </c>
      <c r="H14" s="570">
        <v>2000</v>
      </c>
      <c r="I14" s="570">
        <v>1142</v>
      </c>
      <c r="J14" s="966">
        <f t="shared" si="5"/>
        <v>57.099999999999994</v>
      </c>
      <c r="K14" s="148"/>
      <c r="L14" s="570"/>
      <c r="M14" s="570"/>
      <c r="N14" s="870"/>
      <c r="O14" s="148"/>
      <c r="P14" s="572">
        <f t="shared" si="6"/>
        <v>2000</v>
      </c>
      <c r="Q14" s="572">
        <f t="shared" si="2"/>
        <v>1142</v>
      </c>
      <c r="R14" s="986">
        <f t="shared" si="2"/>
        <v>57.099999999999994</v>
      </c>
    </row>
    <row r="15" spans="2:18" ht="12" customHeight="1" thickBot="1" x14ac:dyDescent="0.25">
      <c r="B15" s="349">
        <f t="shared" si="3"/>
        <v>10</v>
      </c>
      <c r="C15" s="350"/>
      <c r="D15" s="350"/>
      <c r="E15" s="213" t="s">
        <v>426</v>
      </c>
      <c r="F15" s="213">
        <v>640</v>
      </c>
      <c r="G15" s="355" t="s">
        <v>873</v>
      </c>
      <c r="H15" s="384">
        <v>20758</v>
      </c>
      <c r="I15" s="384">
        <v>20758</v>
      </c>
      <c r="J15" s="991">
        <f t="shared" si="5"/>
        <v>100</v>
      </c>
      <c r="K15" s="711"/>
      <c r="L15" s="384"/>
      <c r="M15" s="384"/>
      <c r="N15" s="988"/>
      <c r="O15" s="836"/>
      <c r="P15" s="138">
        <f t="shared" ref="P15" si="8">H15+L15</f>
        <v>20758</v>
      </c>
      <c r="Q15" s="138">
        <f t="shared" si="2"/>
        <v>20758</v>
      </c>
      <c r="R15" s="993">
        <f t="shared" si="2"/>
        <v>100</v>
      </c>
    </row>
    <row r="16" spans="2:18" ht="15" customHeight="1" x14ac:dyDescent="0.2">
      <c r="B16" s="306"/>
      <c r="C16" s="307"/>
      <c r="D16" s="129"/>
      <c r="E16" s="129"/>
      <c r="F16" s="129"/>
      <c r="G16" s="129"/>
      <c r="H16" s="249"/>
      <c r="I16" s="249"/>
      <c r="J16" s="249"/>
      <c r="K16" s="249"/>
      <c r="L16" s="249"/>
      <c r="M16" s="249"/>
      <c r="N16" s="249"/>
      <c r="O16" s="249"/>
      <c r="P16" s="249"/>
    </row>
    <row r="18" spans="8:16" x14ac:dyDescent="0.2">
      <c r="H18" s="680"/>
      <c r="I18" s="680"/>
      <c r="J18" s="680"/>
      <c r="K18" s="680"/>
      <c r="L18" s="680"/>
      <c r="M18" s="680"/>
      <c r="N18" s="680"/>
      <c r="O18" s="680"/>
      <c r="P18" s="680"/>
    </row>
  </sheetData>
  <mergeCells count="14">
    <mergeCell ref="Q3:Q5"/>
    <mergeCell ref="R3:R5"/>
    <mergeCell ref="I4:I5"/>
    <mergeCell ref="J4:J5"/>
    <mergeCell ref="M4:M5"/>
    <mergeCell ref="N4:N5"/>
    <mergeCell ref="B3:N3"/>
    <mergeCell ref="P3:P5"/>
    <mergeCell ref="C4:C5"/>
    <mergeCell ref="D4:D5"/>
    <mergeCell ref="E4:E5"/>
    <mergeCell ref="F4:F5"/>
    <mergeCell ref="H4:H5"/>
    <mergeCell ref="L4:L5"/>
  </mergeCells>
  <pageMargins left="0.33" right="0.7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1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7.42578125" style="76" customWidth="1"/>
    <col min="11" max="11" width="2.5703125" style="76" customWidth="1"/>
    <col min="12" max="13" width="14.28515625" style="76" customWidth="1"/>
    <col min="14" max="14" width="7.85546875" style="76" customWidth="1"/>
    <col min="15" max="15" width="3.140625" style="76" customWidth="1"/>
    <col min="16" max="16" width="12.85546875" style="76" customWidth="1"/>
    <col min="17" max="17" width="12.140625" customWidth="1"/>
    <col min="18" max="18" width="7" style="861" customWidth="1"/>
  </cols>
  <sheetData>
    <row r="1" spans="2:18" ht="15" customHeight="1" x14ac:dyDescent="0.2">
      <c r="B1" s="306"/>
      <c r="C1" s="307"/>
      <c r="D1" s="129"/>
      <c r="E1" s="129"/>
      <c r="F1" s="129"/>
      <c r="G1" s="129"/>
      <c r="H1" s="249"/>
      <c r="I1" s="249"/>
      <c r="J1" s="249"/>
      <c r="K1" s="249"/>
      <c r="L1" s="249"/>
      <c r="M1" s="249"/>
      <c r="N1" s="249"/>
      <c r="O1" s="249"/>
      <c r="P1" s="249"/>
    </row>
    <row r="2" spans="2:18" ht="27.75" customHeight="1" thickBot="1" x14ac:dyDescent="0.4">
      <c r="B2" s="248" t="s">
        <v>205</v>
      </c>
      <c r="C2" s="248"/>
      <c r="D2" s="248"/>
      <c r="E2" s="248"/>
      <c r="F2" s="248"/>
      <c r="G2" s="421"/>
      <c r="H2" s="248"/>
      <c r="I2" s="248"/>
      <c r="J2" s="248"/>
      <c r="K2" s="248"/>
      <c r="L2" s="248"/>
      <c r="M2" s="248"/>
      <c r="N2" s="248"/>
      <c r="O2" s="248"/>
      <c r="P2" s="248"/>
    </row>
    <row r="3" spans="2:18" ht="15" customHeight="1" thickBot="1" x14ac:dyDescent="0.25">
      <c r="B3" s="1131" t="s">
        <v>632</v>
      </c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3"/>
      <c r="O3" s="116"/>
      <c r="P3" s="1125" t="s">
        <v>716</v>
      </c>
      <c r="Q3" s="1125" t="s">
        <v>886</v>
      </c>
      <c r="R3" s="1128" t="s">
        <v>887</v>
      </c>
    </row>
    <row r="4" spans="2:18" ht="42" customHeight="1" thickTop="1" x14ac:dyDescent="0.2">
      <c r="B4" s="552"/>
      <c r="C4" s="1123" t="s">
        <v>478</v>
      </c>
      <c r="D4" s="1123" t="s">
        <v>477</v>
      </c>
      <c r="E4" s="1123" t="s">
        <v>475</v>
      </c>
      <c r="F4" s="1123" t="s">
        <v>476</v>
      </c>
      <c r="G4" s="871" t="s">
        <v>3</v>
      </c>
      <c r="H4" s="1135" t="s">
        <v>902</v>
      </c>
      <c r="I4" s="1135" t="s">
        <v>903</v>
      </c>
      <c r="J4" s="1139" t="s">
        <v>887</v>
      </c>
      <c r="L4" s="1137" t="s">
        <v>904</v>
      </c>
      <c r="M4" s="1137" t="s">
        <v>905</v>
      </c>
      <c r="N4" s="1139" t="s">
        <v>887</v>
      </c>
      <c r="P4" s="1126"/>
      <c r="Q4" s="1126"/>
      <c r="R4" s="1129"/>
    </row>
    <row r="5" spans="2:18" ht="32.25" customHeight="1" thickBot="1" x14ac:dyDescent="0.25">
      <c r="B5" s="552"/>
      <c r="C5" s="1123"/>
      <c r="D5" s="1123"/>
      <c r="E5" s="1123"/>
      <c r="F5" s="1123"/>
      <c r="G5" s="871"/>
      <c r="H5" s="1136"/>
      <c r="I5" s="1136"/>
      <c r="J5" s="1140"/>
      <c r="L5" s="1138"/>
      <c r="M5" s="1138"/>
      <c r="N5" s="1140"/>
      <c r="P5" s="1127"/>
      <c r="Q5" s="1127"/>
      <c r="R5" s="1130"/>
    </row>
    <row r="6" spans="2:18" ht="24" customHeight="1" thickTop="1" thickBot="1" x14ac:dyDescent="0.25">
      <c r="B6" s="553">
        <v>1</v>
      </c>
      <c r="C6" s="928" t="s">
        <v>206</v>
      </c>
      <c r="D6" s="927"/>
      <c r="E6" s="927"/>
      <c r="F6" s="927"/>
      <c r="G6" s="203"/>
      <c r="H6" s="411">
        <f>H7+H11+H22+H26+H46+H56+H59+H66</f>
        <v>3467953</v>
      </c>
      <c r="I6" s="411">
        <f t="shared" ref="I6" si="0">I7+I11+I22+I26+I46+I56+I59+I66</f>
        <v>3120311</v>
      </c>
      <c r="J6" s="969">
        <f>I6/H6*100</f>
        <v>89.975585020904262</v>
      </c>
      <c r="K6" s="111"/>
      <c r="L6" s="377">
        <f>L7+L11+L22+L26+L46+L56+L59+L66</f>
        <v>431616</v>
      </c>
      <c r="M6" s="377">
        <f t="shared" ref="M6" si="1">M7+M11+M22+M26+M46+M56+M59+M66</f>
        <v>312248</v>
      </c>
      <c r="N6" s="969">
        <f>M6/L6*100</f>
        <v>72.343935349940693</v>
      </c>
      <c r="O6" s="111"/>
      <c r="P6" s="371">
        <f t="shared" ref="P6:P32" si="2">H6+L6</f>
        <v>3899569</v>
      </c>
      <c r="Q6" s="371">
        <f t="shared" ref="Q6:Q32" si="3">I6+M6</f>
        <v>3432559</v>
      </c>
      <c r="R6" s="992">
        <f>Q6/P6*100</f>
        <v>88.024061120600763</v>
      </c>
    </row>
    <row r="7" spans="2:18" ht="15.75" customHeight="1" thickTop="1" x14ac:dyDescent="0.25">
      <c r="B7" s="172">
        <f>B6+1</f>
        <v>2</v>
      </c>
      <c r="C7" s="23">
        <v>1</v>
      </c>
      <c r="D7" s="123" t="s">
        <v>98</v>
      </c>
      <c r="E7" s="24"/>
      <c r="F7" s="24"/>
      <c r="G7" s="192"/>
      <c r="H7" s="412">
        <f>SUM(H8:H10)</f>
        <v>93400</v>
      </c>
      <c r="I7" s="412">
        <f t="shared" ref="I7" si="4">SUM(I8:I10)</f>
        <v>87120</v>
      </c>
      <c r="J7" s="994">
        <f t="shared" ref="J7:J69" si="5">I7/H7*100</f>
        <v>93.276231263383309</v>
      </c>
      <c r="K7" s="86"/>
      <c r="L7" s="378">
        <f>L8+L9+L10</f>
        <v>0</v>
      </c>
      <c r="M7" s="378">
        <f t="shared" ref="M7" si="6">M8+M9+M10</f>
        <v>0</v>
      </c>
      <c r="N7" s="971">
        <v>0</v>
      </c>
      <c r="O7" s="86"/>
      <c r="P7" s="372">
        <f t="shared" si="2"/>
        <v>93400</v>
      </c>
      <c r="Q7" s="372">
        <f t="shared" si="3"/>
        <v>87120</v>
      </c>
      <c r="R7" s="981">
        <f t="shared" ref="R7:R70" si="7">Q7/P7*100</f>
        <v>93.276231263383309</v>
      </c>
    </row>
    <row r="8" spans="2:18" ht="12" customHeight="1" x14ac:dyDescent="0.2">
      <c r="B8" s="172">
        <f t="shared" ref="B8:B69" si="8">B7+1</f>
        <v>3</v>
      </c>
      <c r="C8" s="126"/>
      <c r="D8" s="127"/>
      <c r="E8" s="127" t="s">
        <v>669</v>
      </c>
      <c r="F8" s="127" t="s">
        <v>216</v>
      </c>
      <c r="G8" s="193" t="s">
        <v>493</v>
      </c>
      <c r="H8" s="570">
        <v>23400</v>
      </c>
      <c r="I8" s="570">
        <v>22717</v>
      </c>
      <c r="J8" s="966">
        <f t="shared" si="5"/>
        <v>97.081196581196579</v>
      </c>
      <c r="K8" s="128"/>
      <c r="L8" s="571"/>
      <c r="M8" s="571"/>
      <c r="N8" s="979"/>
      <c r="O8" s="128"/>
      <c r="P8" s="133">
        <f t="shared" si="2"/>
        <v>23400</v>
      </c>
      <c r="Q8" s="133">
        <f t="shared" si="3"/>
        <v>22717</v>
      </c>
      <c r="R8" s="983">
        <f t="shared" si="7"/>
        <v>97.081196581196579</v>
      </c>
    </row>
    <row r="9" spans="2:18" ht="12" customHeight="1" x14ac:dyDescent="0.2">
      <c r="B9" s="172">
        <f t="shared" si="8"/>
        <v>4</v>
      </c>
      <c r="C9" s="126"/>
      <c r="D9" s="127"/>
      <c r="E9" s="127" t="s">
        <v>669</v>
      </c>
      <c r="F9" s="127" t="s">
        <v>216</v>
      </c>
      <c r="G9" s="193" t="s">
        <v>494</v>
      </c>
      <c r="H9" s="570">
        <v>12000</v>
      </c>
      <c r="I9" s="570">
        <v>8320</v>
      </c>
      <c r="J9" s="966">
        <f t="shared" si="5"/>
        <v>69.333333333333343</v>
      </c>
      <c r="K9" s="128"/>
      <c r="L9" s="571"/>
      <c r="M9" s="571"/>
      <c r="N9" s="979"/>
      <c r="O9" s="128"/>
      <c r="P9" s="133">
        <f t="shared" si="2"/>
        <v>12000</v>
      </c>
      <c r="Q9" s="133">
        <f t="shared" si="3"/>
        <v>8320</v>
      </c>
      <c r="R9" s="983">
        <f t="shared" si="7"/>
        <v>69.333333333333343</v>
      </c>
    </row>
    <row r="10" spans="2:18" ht="12" customHeight="1" x14ac:dyDescent="0.2">
      <c r="B10" s="172">
        <f t="shared" si="8"/>
        <v>5</v>
      </c>
      <c r="C10" s="126"/>
      <c r="D10" s="127"/>
      <c r="E10" s="127" t="s">
        <v>669</v>
      </c>
      <c r="F10" s="127" t="s">
        <v>216</v>
      </c>
      <c r="G10" s="193" t="s">
        <v>495</v>
      </c>
      <c r="H10" s="570">
        <f>12000+46000</f>
        <v>58000</v>
      </c>
      <c r="I10" s="570">
        <v>56083</v>
      </c>
      <c r="J10" s="966">
        <f t="shared" si="5"/>
        <v>96.694827586206898</v>
      </c>
      <c r="K10" s="128"/>
      <c r="L10" s="570"/>
      <c r="M10" s="570"/>
      <c r="N10" s="966"/>
      <c r="O10" s="128"/>
      <c r="P10" s="133">
        <f t="shared" si="2"/>
        <v>58000</v>
      </c>
      <c r="Q10" s="133">
        <f t="shared" si="3"/>
        <v>56083</v>
      </c>
      <c r="R10" s="983">
        <f t="shared" si="7"/>
        <v>96.694827586206898</v>
      </c>
    </row>
    <row r="11" spans="2:18" ht="15" customHeight="1" x14ac:dyDescent="0.25">
      <c r="B11" s="172">
        <f t="shared" si="8"/>
        <v>6</v>
      </c>
      <c r="C11" s="21">
        <v>2</v>
      </c>
      <c r="D11" s="122" t="s">
        <v>175</v>
      </c>
      <c r="E11" s="22"/>
      <c r="F11" s="22"/>
      <c r="G11" s="194"/>
      <c r="H11" s="413">
        <f>H12+H14+H18</f>
        <v>98110</v>
      </c>
      <c r="I11" s="413">
        <f t="shared" ref="I11" si="9">I12+I14+I18</f>
        <v>76459</v>
      </c>
      <c r="J11" s="972">
        <f t="shared" si="5"/>
        <v>77.931913158699416</v>
      </c>
      <c r="K11" s="110"/>
      <c r="L11" s="378">
        <f>L12+L14+L18</f>
        <v>268332</v>
      </c>
      <c r="M11" s="378">
        <f t="shared" ref="M11" si="10">M12+M14+M18</f>
        <v>266187</v>
      </c>
      <c r="N11" s="971">
        <f t="shared" ref="N11:N70" si="11">M11/L11*100</f>
        <v>99.200617145923715</v>
      </c>
      <c r="O11" s="110"/>
      <c r="P11" s="373">
        <f t="shared" si="2"/>
        <v>366442</v>
      </c>
      <c r="Q11" s="373">
        <f t="shared" si="3"/>
        <v>342646</v>
      </c>
      <c r="R11" s="984">
        <f t="shared" si="7"/>
        <v>93.506202891589936</v>
      </c>
    </row>
    <row r="12" spans="2:18" ht="15" customHeight="1" x14ac:dyDescent="0.2">
      <c r="B12" s="172">
        <f t="shared" si="8"/>
        <v>7</v>
      </c>
      <c r="C12" s="74"/>
      <c r="D12" s="199" t="s">
        <v>4</v>
      </c>
      <c r="E12" s="206" t="s">
        <v>130</v>
      </c>
      <c r="F12" s="207"/>
      <c r="G12" s="208"/>
      <c r="H12" s="376">
        <f>H13</f>
        <v>2450</v>
      </c>
      <c r="I12" s="376">
        <f t="shared" ref="I12" si="12">I13</f>
        <v>1639</v>
      </c>
      <c r="J12" s="965">
        <f t="shared" si="5"/>
        <v>66.897959183673478</v>
      </c>
      <c r="K12" s="20"/>
      <c r="L12" s="379"/>
      <c r="M12" s="379"/>
      <c r="N12" s="979"/>
      <c r="O12" s="20"/>
      <c r="P12" s="210">
        <f t="shared" si="2"/>
        <v>2450</v>
      </c>
      <c r="Q12" s="210">
        <f t="shared" si="3"/>
        <v>1639</v>
      </c>
      <c r="R12" s="982">
        <f t="shared" si="7"/>
        <v>66.897959183673478</v>
      </c>
    </row>
    <row r="13" spans="2:18" ht="12" customHeight="1" x14ac:dyDescent="0.2">
      <c r="B13" s="172">
        <f t="shared" si="8"/>
        <v>8</v>
      </c>
      <c r="C13" s="126"/>
      <c r="D13" s="126"/>
      <c r="E13" s="127" t="s">
        <v>669</v>
      </c>
      <c r="F13" s="130">
        <v>637</v>
      </c>
      <c r="G13" s="193" t="s">
        <v>711</v>
      </c>
      <c r="H13" s="570">
        <v>2450</v>
      </c>
      <c r="I13" s="570">
        <v>1639</v>
      </c>
      <c r="J13" s="966">
        <f t="shared" si="5"/>
        <v>66.897959183673478</v>
      </c>
      <c r="K13" s="128"/>
      <c r="L13" s="570"/>
      <c r="M13" s="570"/>
      <c r="N13" s="966"/>
      <c r="O13" s="128"/>
      <c r="P13" s="572">
        <f t="shared" si="2"/>
        <v>2450</v>
      </c>
      <c r="Q13" s="572">
        <f t="shared" si="3"/>
        <v>1639</v>
      </c>
      <c r="R13" s="986">
        <f t="shared" si="7"/>
        <v>66.897959183673478</v>
      </c>
    </row>
    <row r="14" spans="2:18" ht="15" customHeight="1" x14ac:dyDescent="0.2">
      <c r="B14" s="172">
        <f t="shared" si="8"/>
        <v>9</v>
      </c>
      <c r="C14" s="74"/>
      <c r="D14" s="199" t="s">
        <v>5</v>
      </c>
      <c r="E14" s="206" t="s">
        <v>131</v>
      </c>
      <c r="F14" s="207"/>
      <c r="G14" s="208"/>
      <c r="H14" s="376">
        <f>SUM(H15:H16)</f>
        <v>22010</v>
      </c>
      <c r="I14" s="376">
        <f t="shared" ref="I14" si="13">SUM(I15:I16)</f>
        <v>14951</v>
      </c>
      <c r="J14" s="965">
        <f t="shared" si="5"/>
        <v>67.928214447978192</v>
      </c>
      <c r="K14" s="20"/>
      <c r="L14" s="404">
        <f>L17</f>
        <v>100</v>
      </c>
      <c r="M14" s="404">
        <f t="shared" ref="M14" si="14">M17</f>
        <v>66</v>
      </c>
      <c r="N14" s="996">
        <f t="shared" si="11"/>
        <v>66</v>
      </c>
      <c r="O14" s="20"/>
      <c r="P14" s="210">
        <f t="shared" si="2"/>
        <v>22110</v>
      </c>
      <c r="Q14" s="210">
        <f t="shared" si="3"/>
        <v>15017</v>
      </c>
      <c r="R14" s="982">
        <f t="shared" si="7"/>
        <v>67.919493441881514</v>
      </c>
    </row>
    <row r="15" spans="2:18" ht="12" customHeight="1" x14ac:dyDescent="0.2">
      <c r="B15" s="172">
        <f t="shared" si="8"/>
        <v>10</v>
      </c>
      <c r="C15" s="126"/>
      <c r="D15" s="126"/>
      <c r="E15" s="127" t="s">
        <v>669</v>
      </c>
      <c r="F15" s="130">
        <v>637</v>
      </c>
      <c r="G15" s="193" t="s">
        <v>712</v>
      </c>
      <c r="H15" s="570">
        <v>12600</v>
      </c>
      <c r="I15" s="570">
        <v>5543</v>
      </c>
      <c r="J15" s="966">
        <f t="shared" si="5"/>
        <v>43.992063492063494</v>
      </c>
      <c r="K15" s="128"/>
      <c r="L15" s="570"/>
      <c r="M15" s="570"/>
      <c r="N15" s="966"/>
      <c r="O15" s="128"/>
      <c r="P15" s="572">
        <f t="shared" si="2"/>
        <v>12600</v>
      </c>
      <c r="Q15" s="572">
        <f t="shared" si="3"/>
        <v>5543</v>
      </c>
      <c r="R15" s="986">
        <f t="shared" si="7"/>
        <v>43.992063492063494</v>
      </c>
    </row>
    <row r="16" spans="2:18" ht="12" customHeight="1" x14ac:dyDescent="0.2">
      <c r="B16" s="172">
        <f t="shared" si="8"/>
        <v>11</v>
      </c>
      <c r="C16" s="126"/>
      <c r="D16" s="126"/>
      <c r="E16" s="127" t="s">
        <v>669</v>
      </c>
      <c r="F16" s="130">
        <v>636</v>
      </c>
      <c r="G16" s="193" t="s">
        <v>262</v>
      </c>
      <c r="H16" s="381">
        <v>9410</v>
      </c>
      <c r="I16" s="381">
        <v>9408</v>
      </c>
      <c r="J16" s="978">
        <f t="shared" si="5"/>
        <v>99.9787460148778</v>
      </c>
      <c r="K16" s="128"/>
      <c r="L16" s="570"/>
      <c r="M16" s="570"/>
      <c r="N16" s="966"/>
      <c r="O16" s="128"/>
      <c r="P16" s="572">
        <f t="shared" si="2"/>
        <v>9410</v>
      </c>
      <c r="Q16" s="572">
        <f t="shared" si="3"/>
        <v>9408</v>
      </c>
      <c r="R16" s="986">
        <f t="shared" si="7"/>
        <v>99.9787460148778</v>
      </c>
    </row>
    <row r="17" spans="2:18" ht="12" customHeight="1" x14ac:dyDescent="0.2">
      <c r="B17" s="172">
        <f t="shared" si="8"/>
        <v>12</v>
      </c>
      <c r="C17" s="126"/>
      <c r="D17" s="126"/>
      <c r="E17" s="127" t="s">
        <v>669</v>
      </c>
      <c r="F17" s="568">
        <v>712</v>
      </c>
      <c r="G17" s="193" t="s">
        <v>534</v>
      </c>
      <c r="H17" s="381"/>
      <c r="I17" s="381"/>
      <c r="J17" s="978"/>
      <c r="K17" s="128"/>
      <c r="L17" s="570">
        <v>100</v>
      </c>
      <c r="M17" s="570">
        <v>66</v>
      </c>
      <c r="N17" s="966">
        <f t="shared" si="11"/>
        <v>66</v>
      </c>
      <c r="O17" s="128"/>
      <c r="P17" s="572">
        <f t="shared" si="2"/>
        <v>100</v>
      </c>
      <c r="Q17" s="572">
        <f t="shared" si="3"/>
        <v>66</v>
      </c>
      <c r="R17" s="986">
        <f t="shared" si="7"/>
        <v>66</v>
      </c>
    </row>
    <row r="18" spans="2:18" ht="15" customHeight="1" x14ac:dyDescent="0.2">
      <c r="B18" s="172">
        <f t="shared" si="8"/>
        <v>13</v>
      </c>
      <c r="C18" s="74"/>
      <c r="D18" s="199" t="s">
        <v>6</v>
      </c>
      <c r="E18" s="206" t="s">
        <v>132</v>
      </c>
      <c r="F18" s="207"/>
      <c r="G18" s="208"/>
      <c r="H18" s="385">
        <f>H19+H20</f>
        <v>73650</v>
      </c>
      <c r="I18" s="385">
        <f t="shared" ref="I18" si="15">I19+I20</f>
        <v>59869</v>
      </c>
      <c r="J18" s="995">
        <f t="shared" si="5"/>
        <v>81.288526816021715</v>
      </c>
      <c r="K18" s="20"/>
      <c r="L18" s="493">
        <f>L21</f>
        <v>268232</v>
      </c>
      <c r="M18" s="493">
        <f t="shared" ref="M18" si="16">M21</f>
        <v>266121</v>
      </c>
      <c r="N18" s="997">
        <f t="shared" si="11"/>
        <v>99.212994720987808</v>
      </c>
      <c r="O18" s="20"/>
      <c r="P18" s="211">
        <f t="shared" si="2"/>
        <v>341882</v>
      </c>
      <c r="Q18" s="211">
        <f t="shared" si="3"/>
        <v>325990</v>
      </c>
      <c r="R18" s="999">
        <f t="shared" si="7"/>
        <v>95.351612544679156</v>
      </c>
    </row>
    <row r="19" spans="2:18" ht="12" customHeight="1" x14ac:dyDescent="0.2">
      <c r="B19" s="172">
        <f t="shared" si="8"/>
        <v>14</v>
      </c>
      <c r="C19" s="126"/>
      <c r="D19" s="126"/>
      <c r="E19" s="127" t="s">
        <v>669</v>
      </c>
      <c r="F19" s="157">
        <v>637</v>
      </c>
      <c r="G19" s="193" t="s">
        <v>492</v>
      </c>
      <c r="H19" s="570">
        <v>10000</v>
      </c>
      <c r="I19" s="570">
        <v>7667</v>
      </c>
      <c r="J19" s="966">
        <f t="shared" si="5"/>
        <v>76.67</v>
      </c>
      <c r="K19" s="128"/>
      <c r="L19" s="570"/>
      <c r="M19" s="570"/>
      <c r="N19" s="966"/>
      <c r="O19" s="128"/>
      <c r="P19" s="572">
        <f t="shared" si="2"/>
        <v>10000</v>
      </c>
      <c r="Q19" s="572">
        <f t="shared" si="3"/>
        <v>7667</v>
      </c>
      <c r="R19" s="986">
        <f t="shared" si="7"/>
        <v>76.67</v>
      </c>
    </row>
    <row r="20" spans="2:18" ht="12" customHeight="1" x14ac:dyDescent="0.2">
      <c r="B20" s="172">
        <f t="shared" si="8"/>
        <v>15</v>
      </c>
      <c r="C20" s="131"/>
      <c r="D20" s="131"/>
      <c r="E20" s="127" t="s">
        <v>669</v>
      </c>
      <c r="F20" s="158">
        <v>636</v>
      </c>
      <c r="G20" s="204" t="s">
        <v>262</v>
      </c>
      <c r="H20" s="570">
        <f>71700-8050</f>
        <v>63650</v>
      </c>
      <c r="I20" s="570">
        <v>52202</v>
      </c>
      <c r="J20" s="966">
        <f t="shared" si="5"/>
        <v>82.014139827179889</v>
      </c>
      <c r="K20" s="128"/>
      <c r="L20" s="570"/>
      <c r="M20" s="570"/>
      <c r="N20" s="966"/>
      <c r="O20" s="128"/>
      <c r="P20" s="572">
        <f t="shared" si="2"/>
        <v>63650</v>
      </c>
      <c r="Q20" s="572">
        <f t="shared" si="3"/>
        <v>52202</v>
      </c>
      <c r="R20" s="986">
        <f t="shared" si="7"/>
        <v>82.014139827179889</v>
      </c>
    </row>
    <row r="21" spans="2:18" ht="12" customHeight="1" x14ac:dyDescent="0.2">
      <c r="B21" s="172">
        <f t="shared" si="8"/>
        <v>16</v>
      </c>
      <c r="C21" s="126"/>
      <c r="D21" s="160"/>
      <c r="E21" s="127" t="s">
        <v>669</v>
      </c>
      <c r="F21" s="366">
        <v>711</v>
      </c>
      <c r="G21" s="569" t="s">
        <v>435</v>
      </c>
      <c r="H21" s="570"/>
      <c r="I21" s="570"/>
      <c r="J21" s="966"/>
      <c r="K21" s="128"/>
      <c r="L21" s="381">
        <f>377090-60000-20000-16528-10824-1506</f>
        <v>268232</v>
      </c>
      <c r="M21" s="381">
        <v>266121</v>
      </c>
      <c r="N21" s="978">
        <f t="shared" si="11"/>
        <v>99.212994720987808</v>
      </c>
      <c r="O21" s="128"/>
      <c r="P21" s="572">
        <f t="shared" si="2"/>
        <v>268232</v>
      </c>
      <c r="Q21" s="572">
        <f t="shared" si="3"/>
        <v>266121</v>
      </c>
      <c r="R21" s="986">
        <f t="shared" si="7"/>
        <v>99.212994720987808</v>
      </c>
    </row>
    <row r="22" spans="2:18" ht="15" customHeight="1" x14ac:dyDescent="0.25">
      <c r="B22" s="172">
        <f t="shared" si="8"/>
        <v>17</v>
      </c>
      <c r="C22" s="23">
        <v>3</v>
      </c>
      <c r="D22" s="123" t="s">
        <v>136</v>
      </c>
      <c r="E22" s="24"/>
      <c r="F22" s="24"/>
      <c r="G22" s="192"/>
      <c r="H22" s="413">
        <f>SUM(H23:H25)</f>
        <v>9000</v>
      </c>
      <c r="I22" s="413">
        <f t="shared" ref="I22" si="17">SUM(I23:I25)</f>
        <v>7564</v>
      </c>
      <c r="J22" s="972">
        <f t="shared" si="5"/>
        <v>84.044444444444437</v>
      </c>
      <c r="K22" s="86"/>
      <c r="L22" s="378">
        <f>L23+L25</f>
        <v>0</v>
      </c>
      <c r="M22" s="378">
        <f t="shared" ref="M22" si="18">M23+M25</f>
        <v>0</v>
      </c>
      <c r="N22" s="971">
        <v>0</v>
      </c>
      <c r="O22" s="86"/>
      <c r="P22" s="372">
        <f t="shared" si="2"/>
        <v>9000</v>
      </c>
      <c r="Q22" s="372">
        <f t="shared" si="3"/>
        <v>7564</v>
      </c>
      <c r="R22" s="981">
        <f t="shared" si="7"/>
        <v>84.044444444444437</v>
      </c>
    </row>
    <row r="23" spans="2:18" x14ac:dyDescent="0.2">
      <c r="B23" s="172">
        <f t="shared" si="8"/>
        <v>18</v>
      </c>
      <c r="C23" s="180"/>
      <c r="D23" s="180"/>
      <c r="E23" s="127" t="s">
        <v>669</v>
      </c>
      <c r="F23" s="181">
        <v>620</v>
      </c>
      <c r="G23" s="225" t="s">
        <v>259</v>
      </c>
      <c r="H23" s="571">
        <v>1000</v>
      </c>
      <c r="I23" s="571">
        <v>0</v>
      </c>
      <c r="J23" s="979">
        <f t="shared" si="5"/>
        <v>0</v>
      </c>
      <c r="K23" s="128"/>
      <c r="L23" s="571"/>
      <c r="M23" s="571"/>
      <c r="N23" s="979"/>
      <c r="O23" s="128"/>
      <c r="P23" s="133">
        <f t="shared" si="2"/>
        <v>1000</v>
      </c>
      <c r="Q23" s="133">
        <f t="shared" si="3"/>
        <v>0</v>
      </c>
      <c r="R23" s="983">
        <f t="shared" si="7"/>
        <v>0</v>
      </c>
    </row>
    <row r="24" spans="2:18" x14ac:dyDescent="0.2">
      <c r="B24" s="172">
        <f t="shared" si="8"/>
        <v>19</v>
      </c>
      <c r="C24" s="131"/>
      <c r="D24" s="131"/>
      <c r="E24" s="127" t="s">
        <v>669</v>
      </c>
      <c r="F24" s="568">
        <v>633</v>
      </c>
      <c r="G24" s="204" t="s">
        <v>589</v>
      </c>
      <c r="H24" s="571">
        <f>2000-81</f>
        <v>1919</v>
      </c>
      <c r="I24" s="571">
        <v>1482</v>
      </c>
      <c r="J24" s="979">
        <f t="shared" si="5"/>
        <v>77.227722772277232</v>
      </c>
      <c r="K24" s="128"/>
      <c r="L24" s="571"/>
      <c r="M24" s="571"/>
      <c r="N24" s="979"/>
      <c r="O24" s="128"/>
      <c r="P24" s="133">
        <f t="shared" si="2"/>
        <v>1919</v>
      </c>
      <c r="Q24" s="133">
        <f t="shared" si="3"/>
        <v>1482</v>
      </c>
      <c r="R24" s="983">
        <f t="shared" si="7"/>
        <v>77.227722772277232</v>
      </c>
    </row>
    <row r="25" spans="2:18" ht="12" customHeight="1" x14ac:dyDescent="0.2">
      <c r="B25" s="172">
        <f t="shared" si="8"/>
        <v>20</v>
      </c>
      <c r="C25" s="568"/>
      <c r="D25" s="131"/>
      <c r="E25" s="127" t="s">
        <v>669</v>
      </c>
      <c r="F25" s="568">
        <v>637</v>
      </c>
      <c r="G25" s="204" t="s">
        <v>248</v>
      </c>
      <c r="H25" s="571">
        <f>6000+81</f>
        <v>6081</v>
      </c>
      <c r="I25" s="571">
        <v>6082</v>
      </c>
      <c r="J25" s="979">
        <f t="shared" si="5"/>
        <v>100.01644466370662</v>
      </c>
      <c r="K25" s="128"/>
      <c r="L25" s="571"/>
      <c r="M25" s="571"/>
      <c r="N25" s="979"/>
      <c r="O25" s="128"/>
      <c r="P25" s="133">
        <f t="shared" si="2"/>
        <v>6081</v>
      </c>
      <c r="Q25" s="133">
        <f t="shared" si="3"/>
        <v>6082</v>
      </c>
      <c r="R25" s="983">
        <f t="shared" si="7"/>
        <v>100.01644466370662</v>
      </c>
    </row>
    <row r="26" spans="2:18" ht="15" customHeight="1" x14ac:dyDescent="0.25">
      <c r="B26" s="172">
        <f t="shared" si="8"/>
        <v>21</v>
      </c>
      <c r="C26" s="21">
        <v>4</v>
      </c>
      <c r="D26" s="122" t="s">
        <v>133</v>
      </c>
      <c r="E26" s="22"/>
      <c r="F26" s="22"/>
      <c r="G26" s="194"/>
      <c r="H26" s="415">
        <f>SUM(H27:H32)+H35</f>
        <v>232810</v>
      </c>
      <c r="I26" s="415">
        <f t="shared" ref="I26" si="19">SUM(I27:I32)+I35</f>
        <v>205812</v>
      </c>
      <c r="J26" s="972">
        <f t="shared" si="5"/>
        <v>88.403419097117819</v>
      </c>
      <c r="K26" s="247"/>
      <c r="L26" s="380">
        <f>SUM(L29:L32)</f>
        <v>136284</v>
      </c>
      <c r="M26" s="380">
        <f t="shared" ref="M26" si="20">SUM(M29:M32)</f>
        <v>20154</v>
      </c>
      <c r="N26" s="972">
        <f t="shared" si="11"/>
        <v>14.78823633001673</v>
      </c>
      <c r="O26" s="247"/>
      <c r="P26" s="373">
        <f t="shared" si="2"/>
        <v>369094</v>
      </c>
      <c r="Q26" s="373">
        <f t="shared" si="3"/>
        <v>225966</v>
      </c>
      <c r="R26" s="984">
        <f t="shared" si="7"/>
        <v>61.22180257603754</v>
      </c>
    </row>
    <row r="27" spans="2:18" ht="12" customHeight="1" x14ac:dyDescent="0.2">
      <c r="B27" s="172">
        <f t="shared" si="8"/>
        <v>22</v>
      </c>
      <c r="C27" s="126"/>
      <c r="D27" s="126"/>
      <c r="E27" s="127" t="s">
        <v>669</v>
      </c>
      <c r="F27" s="130">
        <v>635</v>
      </c>
      <c r="G27" s="193" t="s">
        <v>276</v>
      </c>
      <c r="H27" s="570">
        <v>11000</v>
      </c>
      <c r="I27" s="570">
        <v>1697</v>
      </c>
      <c r="J27" s="966">
        <f t="shared" si="5"/>
        <v>15.427272727272728</v>
      </c>
      <c r="K27" s="128"/>
      <c r="L27" s="381"/>
      <c r="M27" s="381"/>
      <c r="N27" s="978"/>
      <c r="O27" s="128"/>
      <c r="P27" s="161">
        <f t="shared" si="2"/>
        <v>11000</v>
      </c>
      <c r="Q27" s="161">
        <f t="shared" si="3"/>
        <v>1697</v>
      </c>
      <c r="R27" s="1000">
        <f t="shared" si="7"/>
        <v>15.427272727272728</v>
      </c>
    </row>
    <row r="28" spans="2:18" ht="12" customHeight="1" x14ac:dyDescent="0.2">
      <c r="B28" s="172">
        <f t="shared" si="8"/>
        <v>23</v>
      </c>
      <c r="C28" s="126"/>
      <c r="D28" s="126"/>
      <c r="E28" s="127" t="s">
        <v>669</v>
      </c>
      <c r="F28" s="130">
        <v>637</v>
      </c>
      <c r="G28" s="193" t="s">
        <v>703</v>
      </c>
      <c r="H28" s="570">
        <f>8000-7740</f>
        <v>260</v>
      </c>
      <c r="I28" s="570">
        <v>0</v>
      </c>
      <c r="J28" s="966">
        <f t="shared" si="5"/>
        <v>0</v>
      </c>
      <c r="K28" s="128"/>
      <c r="L28" s="381"/>
      <c r="M28" s="381"/>
      <c r="N28" s="978"/>
      <c r="O28" s="128"/>
      <c r="P28" s="161">
        <f t="shared" si="2"/>
        <v>260</v>
      </c>
      <c r="Q28" s="161">
        <f t="shared" si="3"/>
        <v>0</v>
      </c>
      <c r="R28" s="1000">
        <f t="shared" si="7"/>
        <v>0</v>
      </c>
    </row>
    <row r="29" spans="2:18" ht="12" customHeight="1" x14ac:dyDescent="0.2">
      <c r="B29" s="172">
        <f t="shared" si="8"/>
        <v>24</v>
      </c>
      <c r="C29" s="126"/>
      <c r="D29" s="126"/>
      <c r="E29" s="127" t="s">
        <v>669</v>
      </c>
      <c r="F29" s="130">
        <v>717</v>
      </c>
      <c r="G29" s="193" t="s">
        <v>702</v>
      </c>
      <c r="H29" s="570"/>
      <c r="I29" s="570"/>
      <c r="J29" s="966"/>
      <c r="K29" s="128"/>
      <c r="L29" s="381">
        <f>20000-516-8000</f>
        <v>11484</v>
      </c>
      <c r="M29" s="381">
        <v>8895</v>
      </c>
      <c r="N29" s="978">
        <f t="shared" si="11"/>
        <v>77.455590386624877</v>
      </c>
      <c r="O29" s="128"/>
      <c r="P29" s="161">
        <f t="shared" si="2"/>
        <v>11484</v>
      </c>
      <c r="Q29" s="161">
        <f t="shared" si="3"/>
        <v>8895</v>
      </c>
      <c r="R29" s="1000">
        <f t="shared" si="7"/>
        <v>77.455590386624877</v>
      </c>
    </row>
    <row r="30" spans="2:18" ht="12" customHeight="1" x14ac:dyDescent="0.2">
      <c r="B30" s="172">
        <f t="shared" si="8"/>
        <v>25</v>
      </c>
      <c r="C30" s="126"/>
      <c r="D30" s="126"/>
      <c r="E30" s="127" t="s">
        <v>669</v>
      </c>
      <c r="F30" s="130">
        <v>717</v>
      </c>
      <c r="G30" s="193" t="s">
        <v>820</v>
      </c>
      <c r="H30" s="570"/>
      <c r="I30" s="570"/>
      <c r="J30" s="966"/>
      <c r="K30" s="128"/>
      <c r="L30" s="381">
        <v>4800</v>
      </c>
      <c r="M30" s="381">
        <v>4171</v>
      </c>
      <c r="N30" s="978">
        <f t="shared" si="11"/>
        <v>86.895833333333343</v>
      </c>
      <c r="O30" s="128"/>
      <c r="P30" s="161">
        <f t="shared" si="2"/>
        <v>4800</v>
      </c>
      <c r="Q30" s="161">
        <f t="shared" si="3"/>
        <v>4171</v>
      </c>
      <c r="R30" s="1000">
        <f t="shared" si="7"/>
        <v>86.895833333333343</v>
      </c>
    </row>
    <row r="31" spans="2:18" ht="12" customHeight="1" x14ac:dyDescent="0.2">
      <c r="B31" s="172">
        <f t="shared" si="8"/>
        <v>26</v>
      </c>
      <c r="C31" s="126"/>
      <c r="D31" s="126"/>
      <c r="E31" s="127" t="s">
        <v>669</v>
      </c>
      <c r="F31" s="130">
        <v>716</v>
      </c>
      <c r="G31" s="193" t="s">
        <v>704</v>
      </c>
      <c r="H31" s="570"/>
      <c r="I31" s="570"/>
      <c r="J31" s="966"/>
      <c r="K31" s="128"/>
      <c r="L31" s="381">
        <v>6000</v>
      </c>
      <c r="M31" s="381">
        <v>5898</v>
      </c>
      <c r="N31" s="978">
        <f t="shared" si="11"/>
        <v>98.3</v>
      </c>
      <c r="O31" s="128"/>
      <c r="P31" s="161">
        <f t="shared" si="2"/>
        <v>6000</v>
      </c>
      <c r="Q31" s="161">
        <f t="shared" si="3"/>
        <v>5898</v>
      </c>
      <c r="R31" s="1000">
        <f t="shared" si="7"/>
        <v>98.3</v>
      </c>
    </row>
    <row r="32" spans="2:18" ht="12" customHeight="1" x14ac:dyDescent="0.2">
      <c r="B32" s="172">
        <f t="shared" si="8"/>
        <v>27</v>
      </c>
      <c r="C32" s="126"/>
      <c r="D32" s="126"/>
      <c r="E32" s="127" t="s">
        <v>669</v>
      </c>
      <c r="F32" s="130">
        <v>717</v>
      </c>
      <c r="G32" s="193" t="s">
        <v>699</v>
      </c>
      <c r="H32" s="570"/>
      <c r="I32" s="570"/>
      <c r="J32" s="966"/>
      <c r="K32" s="128"/>
      <c r="L32" s="381">
        <f>80000+6000+28000</f>
        <v>114000</v>
      </c>
      <c r="M32" s="381">
        <f>1190</f>
        <v>1190</v>
      </c>
      <c r="N32" s="978">
        <f t="shared" si="11"/>
        <v>1.0438596491228069</v>
      </c>
      <c r="O32" s="128"/>
      <c r="P32" s="161">
        <f t="shared" si="2"/>
        <v>114000</v>
      </c>
      <c r="Q32" s="161">
        <f t="shared" si="3"/>
        <v>1190</v>
      </c>
      <c r="R32" s="1000">
        <f t="shared" si="7"/>
        <v>1.0438596491228069</v>
      </c>
    </row>
    <row r="33" spans="2:18" ht="12" customHeight="1" x14ac:dyDescent="0.2">
      <c r="B33" s="172">
        <f t="shared" si="8"/>
        <v>28</v>
      </c>
      <c r="C33" s="126"/>
      <c r="D33" s="126"/>
      <c r="E33" s="127"/>
      <c r="F33" s="130"/>
      <c r="G33" s="193"/>
      <c r="H33" s="570"/>
      <c r="I33" s="570"/>
      <c r="J33" s="966"/>
      <c r="K33" s="128"/>
      <c r="L33" s="381"/>
      <c r="M33" s="381"/>
      <c r="N33" s="978"/>
      <c r="O33" s="128"/>
      <c r="P33" s="161"/>
      <c r="Q33" s="161"/>
      <c r="R33" s="1000"/>
    </row>
    <row r="34" spans="2:18" ht="1.5" customHeight="1" x14ac:dyDescent="0.2">
      <c r="B34" s="172">
        <f t="shared" si="8"/>
        <v>29</v>
      </c>
      <c r="C34" s="126"/>
      <c r="D34" s="126"/>
      <c r="E34" s="130"/>
      <c r="F34" s="130"/>
      <c r="G34" s="193"/>
      <c r="H34" s="570"/>
      <c r="I34" s="570"/>
      <c r="J34" s="966" t="e">
        <f t="shared" si="5"/>
        <v>#DIV/0!</v>
      </c>
      <c r="K34" s="128"/>
      <c r="L34" s="570"/>
      <c r="M34" s="570"/>
      <c r="N34" s="966"/>
      <c r="O34" s="128"/>
      <c r="P34" s="572">
        <f t="shared" ref="P34:P62" si="21">H34+L34</f>
        <v>0</v>
      </c>
      <c r="Q34" s="572">
        <f t="shared" ref="Q34:Q62" si="22">I34+M34</f>
        <v>0</v>
      </c>
      <c r="R34" s="986" t="e">
        <f t="shared" si="7"/>
        <v>#DIV/0!</v>
      </c>
    </row>
    <row r="35" spans="2:18" ht="15" customHeight="1" x14ac:dyDescent="0.2">
      <c r="B35" s="172">
        <f t="shared" si="8"/>
        <v>30</v>
      </c>
      <c r="C35" s="126"/>
      <c r="D35" s="126"/>
      <c r="E35" s="156" t="s">
        <v>258</v>
      </c>
      <c r="F35" s="156"/>
      <c r="G35" s="226" t="s">
        <v>443</v>
      </c>
      <c r="H35" s="386">
        <f>H36+H37+H38+H45</f>
        <v>221550</v>
      </c>
      <c r="I35" s="386">
        <f t="shared" ref="I35" si="23">I36+I37+I38+I45</f>
        <v>204115</v>
      </c>
      <c r="J35" s="965">
        <f t="shared" si="5"/>
        <v>92.130444594899572</v>
      </c>
      <c r="K35" s="128"/>
      <c r="L35" s="570">
        <v>0</v>
      </c>
      <c r="M35" s="570">
        <v>0</v>
      </c>
      <c r="N35" s="966">
        <v>0</v>
      </c>
      <c r="O35" s="128"/>
      <c r="P35" s="150">
        <f t="shared" si="21"/>
        <v>221550</v>
      </c>
      <c r="Q35" s="150">
        <f t="shared" si="22"/>
        <v>204115</v>
      </c>
      <c r="R35" s="1001">
        <f t="shared" si="7"/>
        <v>92.130444594899572</v>
      </c>
    </row>
    <row r="36" spans="2:18" ht="12" customHeight="1" x14ac:dyDescent="0.2">
      <c r="B36" s="172">
        <f t="shared" si="8"/>
        <v>31</v>
      </c>
      <c r="C36" s="142"/>
      <c r="D36" s="142"/>
      <c r="E36" s="130"/>
      <c r="F36" s="149">
        <v>610</v>
      </c>
      <c r="G36" s="201" t="s">
        <v>257</v>
      </c>
      <c r="H36" s="387">
        <f>63900-1500-7000</f>
        <v>55400</v>
      </c>
      <c r="I36" s="387">
        <v>54853</v>
      </c>
      <c r="J36" s="965">
        <f t="shared" si="5"/>
        <v>99.012635379061379</v>
      </c>
      <c r="K36" s="145"/>
      <c r="L36" s="387"/>
      <c r="M36" s="387"/>
      <c r="N36" s="965"/>
      <c r="O36" s="145"/>
      <c r="P36" s="150">
        <f t="shared" si="21"/>
        <v>55400</v>
      </c>
      <c r="Q36" s="150">
        <f t="shared" si="22"/>
        <v>54853</v>
      </c>
      <c r="R36" s="1001">
        <f t="shared" si="7"/>
        <v>99.012635379061379</v>
      </c>
    </row>
    <row r="37" spans="2:18" ht="12" customHeight="1" x14ac:dyDescent="0.2">
      <c r="B37" s="172">
        <f t="shared" si="8"/>
        <v>32</v>
      </c>
      <c r="C37" s="126"/>
      <c r="D37" s="126"/>
      <c r="E37" s="130"/>
      <c r="F37" s="149">
        <v>620</v>
      </c>
      <c r="G37" s="201" t="s">
        <v>259</v>
      </c>
      <c r="H37" s="387">
        <f>24570-500-2450</f>
        <v>21620</v>
      </c>
      <c r="I37" s="387">
        <v>20143</v>
      </c>
      <c r="J37" s="965">
        <f t="shared" si="5"/>
        <v>93.168362627197041</v>
      </c>
      <c r="K37" s="128"/>
      <c r="L37" s="570"/>
      <c r="M37" s="570"/>
      <c r="N37" s="966"/>
      <c r="O37" s="128"/>
      <c r="P37" s="150">
        <f t="shared" si="21"/>
        <v>21620</v>
      </c>
      <c r="Q37" s="150">
        <f t="shared" si="22"/>
        <v>20143</v>
      </c>
      <c r="R37" s="1001">
        <f t="shared" si="7"/>
        <v>93.168362627197041</v>
      </c>
    </row>
    <row r="38" spans="2:18" ht="12" customHeight="1" x14ac:dyDescent="0.2">
      <c r="B38" s="172">
        <f t="shared" si="8"/>
        <v>33</v>
      </c>
      <c r="C38" s="126"/>
      <c r="D38" s="126"/>
      <c r="E38" s="130"/>
      <c r="F38" s="149">
        <v>630</v>
      </c>
      <c r="G38" s="201" t="s">
        <v>249</v>
      </c>
      <c r="H38" s="387">
        <f>SUM(H39:H44)</f>
        <v>144330</v>
      </c>
      <c r="I38" s="387">
        <f t="shared" ref="I38" si="24">SUM(I39:I44)</f>
        <v>129002</v>
      </c>
      <c r="J38" s="965">
        <f t="shared" si="5"/>
        <v>89.379893300076219</v>
      </c>
      <c r="K38" s="128"/>
      <c r="L38" s="570"/>
      <c r="M38" s="570"/>
      <c r="N38" s="966"/>
      <c r="O38" s="128"/>
      <c r="P38" s="572">
        <f t="shared" si="21"/>
        <v>144330</v>
      </c>
      <c r="Q38" s="572">
        <f t="shared" si="22"/>
        <v>129002</v>
      </c>
      <c r="R38" s="986">
        <f t="shared" si="7"/>
        <v>89.379893300076219</v>
      </c>
    </row>
    <row r="39" spans="2:18" ht="12" customHeight="1" x14ac:dyDescent="0.2">
      <c r="B39" s="172">
        <f t="shared" si="8"/>
        <v>34</v>
      </c>
      <c r="C39" s="126"/>
      <c r="D39" s="126"/>
      <c r="E39" s="130"/>
      <c r="F39" s="130">
        <v>632</v>
      </c>
      <c r="G39" s="193" t="s">
        <v>246</v>
      </c>
      <c r="H39" s="570">
        <v>90000</v>
      </c>
      <c r="I39" s="570">
        <v>84940</v>
      </c>
      <c r="J39" s="966">
        <f t="shared" si="5"/>
        <v>94.37777777777778</v>
      </c>
      <c r="K39" s="128"/>
      <c r="L39" s="570"/>
      <c r="M39" s="570"/>
      <c r="N39" s="966"/>
      <c r="O39" s="128"/>
      <c r="P39" s="572">
        <f t="shared" si="21"/>
        <v>90000</v>
      </c>
      <c r="Q39" s="572">
        <f t="shared" si="22"/>
        <v>84940</v>
      </c>
      <c r="R39" s="986">
        <f t="shared" si="7"/>
        <v>94.37777777777778</v>
      </c>
    </row>
    <row r="40" spans="2:18" ht="12" customHeight="1" x14ac:dyDescent="0.2">
      <c r="B40" s="172">
        <f t="shared" si="8"/>
        <v>35</v>
      </c>
      <c r="C40" s="126"/>
      <c r="D40" s="126"/>
      <c r="E40" s="130"/>
      <c r="F40" s="130">
        <v>633</v>
      </c>
      <c r="G40" s="193" t="s">
        <v>247</v>
      </c>
      <c r="H40" s="570">
        <v>5000</v>
      </c>
      <c r="I40" s="570">
        <v>3455</v>
      </c>
      <c r="J40" s="966">
        <f t="shared" si="5"/>
        <v>69.099999999999994</v>
      </c>
      <c r="K40" s="128"/>
      <c r="L40" s="570"/>
      <c r="M40" s="570"/>
      <c r="N40" s="966"/>
      <c r="O40" s="128"/>
      <c r="P40" s="572">
        <f t="shared" si="21"/>
        <v>5000</v>
      </c>
      <c r="Q40" s="572">
        <f t="shared" si="22"/>
        <v>3455</v>
      </c>
      <c r="R40" s="986">
        <f t="shared" si="7"/>
        <v>69.099999999999994</v>
      </c>
    </row>
    <row r="41" spans="2:18" ht="12" customHeight="1" x14ac:dyDescent="0.2">
      <c r="B41" s="172">
        <f t="shared" si="8"/>
        <v>36</v>
      </c>
      <c r="C41" s="126"/>
      <c r="D41" s="126"/>
      <c r="E41" s="130"/>
      <c r="F41" s="130">
        <v>634</v>
      </c>
      <c r="G41" s="193" t="s">
        <v>260</v>
      </c>
      <c r="H41" s="570">
        <v>4200</v>
      </c>
      <c r="I41" s="570">
        <v>2222</v>
      </c>
      <c r="J41" s="966">
        <f t="shared" si="5"/>
        <v>52.904761904761912</v>
      </c>
      <c r="K41" s="128"/>
      <c r="L41" s="570"/>
      <c r="M41" s="570"/>
      <c r="N41" s="966"/>
      <c r="O41" s="128"/>
      <c r="P41" s="572">
        <f t="shared" si="21"/>
        <v>4200</v>
      </c>
      <c r="Q41" s="572">
        <f t="shared" si="22"/>
        <v>2222</v>
      </c>
      <c r="R41" s="986">
        <f t="shared" si="7"/>
        <v>52.904761904761912</v>
      </c>
    </row>
    <row r="42" spans="2:18" ht="12" customHeight="1" x14ac:dyDescent="0.2">
      <c r="B42" s="172">
        <f t="shared" si="8"/>
        <v>37</v>
      </c>
      <c r="C42" s="126"/>
      <c r="D42" s="126"/>
      <c r="E42" s="130"/>
      <c r="F42" s="130">
        <v>636</v>
      </c>
      <c r="G42" s="193" t="s">
        <v>347</v>
      </c>
      <c r="H42" s="570">
        <v>50</v>
      </c>
      <c r="I42" s="570">
        <v>0</v>
      </c>
      <c r="J42" s="966">
        <f t="shared" si="5"/>
        <v>0</v>
      </c>
      <c r="K42" s="128"/>
      <c r="L42" s="570"/>
      <c r="M42" s="570"/>
      <c r="N42" s="966"/>
      <c r="O42" s="128"/>
      <c r="P42" s="572">
        <f t="shared" si="21"/>
        <v>50</v>
      </c>
      <c r="Q42" s="572">
        <f t="shared" si="22"/>
        <v>0</v>
      </c>
      <c r="R42" s="986">
        <f t="shared" si="7"/>
        <v>0</v>
      </c>
    </row>
    <row r="43" spans="2:18" ht="12" customHeight="1" x14ac:dyDescent="0.2">
      <c r="B43" s="172">
        <f t="shared" si="8"/>
        <v>38</v>
      </c>
      <c r="C43" s="126"/>
      <c r="D43" s="126"/>
      <c r="E43" s="130"/>
      <c r="F43" s="130">
        <v>635</v>
      </c>
      <c r="G43" s="193" t="s">
        <v>261</v>
      </c>
      <c r="H43" s="570">
        <v>33000</v>
      </c>
      <c r="I43" s="570">
        <v>29805</v>
      </c>
      <c r="J43" s="966">
        <f t="shared" si="5"/>
        <v>90.318181818181813</v>
      </c>
      <c r="K43" s="128"/>
      <c r="L43" s="570"/>
      <c r="M43" s="570"/>
      <c r="N43" s="966"/>
      <c r="O43" s="128"/>
      <c r="P43" s="572">
        <f t="shared" si="21"/>
        <v>33000</v>
      </c>
      <c r="Q43" s="572">
        <f t="shared" si="22"/>
        <v>29805</v>
      </c>
      <c r="R43" s="986">
        <f t="shared" si="7"/>
        <v>90.318181818181813</v>
      </c>
    </row>
    <row r="44" spans="2:18" ht="12" customHeight="1" x14ac:dyDescent="0.2">
      <c r="B44" s="172">
        <f t="shared" si="8"/>
        <v>39</v>
      </c>
      <c r="C44" s="126"/>
      <c r="D44" s="126"/>
      <c r="E44" s="130"/>
      <c r="F44" s="130">
        <v>637</v>
      </c>
      <c r="G44" s="193" t="s">
        <v>248</v>
      </c>
      <c r="H44" s="570">
        <f>14080-2000</f>
        <v>12080</v>
      </c>
      <c r="I44" s="570">
        <v>8580</v>
      </c>
      <c r="J44" s="966">
        <f t="shared" si="5"/>
        <v>71.026490066225165</v>
      </c>
      <c r="K44" s="128"/>
      <c r="L44" s="570"/>
      <c r="M44" s="570"/>
      <c r="N44" s="966"/>
      <c r="O44" s="128"/>
      <c r="P44" s="572">
        <f t="shared" si="21"/>
        <v>12080</v>
      </c>
      <c r="Q44" s="572">
        <f t="shared" si="22"/>
        <v>8580</v>
      </c>
      <c r="R44" s="986">
        <f t="shared" si="7"/>
        <v>71.026490066225165</v>
      </c>
    </row>
    <row r="45" spans="2:18" ht="12" customHeight="1" x14ac:dyDescent="0.2">
      <c r="B45" s="172">
        <f t="shared" si="8"/>
        <v>40</v>
      </c>
      <c r="C45" s="126"/>
      <c r="D45" s="160"/>
      <c r="E45" s="130"/>
      <c r="F45" s="154">
        <v>640</v>
      </c>
      <c r="G45" s="201" t="s">
        <v>268</v>
      </c>
      <c r="H45" s="387">
        <v>200</v>
      </c>
      <c r="I45" s="387">
        <v>117</v>
      </c>
      <c r="J45" s="965">
        <f t="shared" si="5"/>
        <v>58.5</v>
      </c>
      <c r="K45" s="128"/>
      <c r="L45" s="381"/>
      <c r="M45" s="381"/>
      <c r="N45" s="978"/>
      <c r="O45" s="128"/>
      <c r="P45" s="150">
        <f t="shared" si="21"/>
        <v>200</v>
      </c>
      <c r="Q45" s="150">
        <f t="shared" si="22"/>
        <v>117</v>
      </c>
      <c r="R45" s="1001">
        <f t="shared" si="7"/>
        <v>58.5</v>
      </c>
    </row>
    <row r="46" spans="2:18" ht="15" customHeight="1" x14ac:dyDescent="0.25">
      <c r="B46" s="172">
        <f t="shared" si="8"/>
        <v>41</v>
      </c>
      <c r="C46" s="23">
        <v>5</v>
      </c>
      <c r="D46" s="123" t="s">
        <v>207</v>
      </c>
      <c r="E46" s="24"/>
      <c r="F46" s="24"/>
      <c r="G46" s="192"/>
      <c r="H46" s="413">
        <f>H47+H48+H49+H54+H55</f>
        <v>2868913</v>
      </c>
      <c r="I46" s="413">
        <f>I47+I48+I49+I54+I55</f>
        <v>2587208</v>
      </c>
      <c r="J46" s="972">
        <f t="shared" si="5"/>
        <v>90.180775785114434</v>
      </c>
      <c r="K46" s="86"/>
      <c r="L46" s="378">
        <v>0</v>
      </c>
      <c r="M46" s="378">
        <v>0</v>
      </c>
      <c r="N46" s="971">
        <v>0</v>
      </c>
      <c r="O46" s="86"/>
      <c r="P46" s="372">
        <f t="shared" si="21"/>
        <v>2868913</v>
      </c>
      <c r="Q46" s="372">
        <f t="shared" si="22"/>
        <v>2587208</v>
      </c>
      <c r="R46" s="981">
        <f t="shared" si="7"/>
        <v>90.180775785114434</v>
      </c>
    </row>
    <row r="47" spans="2:18" ht="12" customHeight="1" x14ac:dyDescent="0.2">
      <c r="B47" s="172">
        <f t="shared" si="8"/>
        <v>42</v>
      </c>
      <c r="C47" s="131"/>
      <c r="D47" s="131"/>
      <c r="E47" s="127" t="s">
        <v>669</v>
      </c>
      <c r="F47" s="149">
        <v>610</v>
      </c>
      <c r="G47" s="201" t="s">
        <v>257</v>
      </c>
      <c r="H47" s="387">
        <v>1550000</v>
      </c>
      <c r="I47" s="387">
        <v>1428812</v>
      </c>
      <c r="J47" s="965">
        <f t="shared" si="5"/>
        <v>92.18141935483871</v>
      </c>
      <c r="K47" s="128"/>
      <c r="L47" s="570"/>
      <c r="M47" s="570"/>
      <c r="N47" s="966"/>
      <c r="O47" s="128"/>
      <c r="P47" s="150">
        <f t="shared" si="21"/>
        <v>1550000</v>
      </c>
      <c r="Q47" s="150">
        <f t="shared" si="22"/>
        <v>1428812</v>
      </c>
      <c r="R47" s="1001">
        <f t="shared" si="7"/>
        <v>92.18141935483871</v>
      </c>
    </row>
    <row r="48" spans="2:18" ht="12" customHeight="1" x14ac:dyDescent="0.2">
      <c r="B48" s="172">
        <f t="shared" si="8"/>
        <v>43</v>
      </c>
      <c r="C48" s="126"/>
      <c r="D48" s="126"/>
      <c r="E48" s="127" t="s">
        <v>669</v>
      </c>
      <c r="F48" s="149">
        <v>620</v>
      </c>
      <c r="G48" s="201" t="s">
        <v>259</v>
      </c>
      <c r="H48" s="387">
        <v>580000</v>
      </c>
      <c r="I48" s="387">
        <v>543694</v>
      </c>
      <c r="J48" s="965">
        <f t="shared" si="5"/>
        <v>93.740344827586213</v>
      </c>
      <c r="K48" s="128"/>
      <c r="L48" s="570"/>
      <c r="M48" s="570"/>
      <c r="N48" s="966"/>
      <c r="O48" s="128"/>
      <c r="P48" s="150">
        <f t="shared" si="21"/>
        <v>580000</v>
      </c>
      <c r="Q48" s="150">
        <f t="shared" si="22"/>
        <v>543694</v>
      </c>
      <c r="R48" s="1001">
        <f t="shared" si="7"/>
        <v>93.740344827586213</v>
      </c>
    </row>
    <row r="49" spans="2:18" ht="12" customHeight="1" x14ac:dyDescent="0.2">
      <c r="B49" s="172">
        <f t="shared" si="8"/>
        <v>44</v>
      </c>
      <c r="C49" s="126"/>
      <c r="D49" s="126"/>
      <c r="E49" s="127" t="s">
        <v>669</v>
      </c>
      <c r="F49" s="149">
        <v>630</v>
      </c>
      <c r="G49" s="201" t="s">
        <v>236</v>
      </c>
      <c r="H49" s="387">
        <f>H50+H51+H52+H53</f>
        <v>448510</v>
      </c>
      <c r="I49" s="387">
        <f t="shared" ref="I49" si="25">I50+I51+I52+I53</f>
        <v>393824</v>
      </c>
      <c r="J49" s="965">
        <f t="shared" si="5"/>
        <v>87.807183786314695</v>
      </c>
      <c r="K49" s="128"/>
      <c r="L49" s="570"/>
      <c r="M49" s="570"/>
      <c r="N49" s="966"/>
      <c r="O49" s="128"/>
      <c r="P49" s="150">
        <f t="shared" si="21"/>
        <v>448510</v>
      </c>
      <c r="Q49" s="150">
        <f t="shared" si="22"/>
        <v>393824</v>
      </c>
      <c r="R49" s="1001">
        <f t="shared" si="7"/>
        <v>87.807183786314695</v>
      </c>
    </row>
    <row r="50" spans="2:18" ht="12" customHeight="1" x14ac:dyDescent="0.2">
      <c r="B50" s="172">
        <f t="shared" si="8"/>
        <v>45</v>
      </c>
      <c r="C50" s="126"/>
      <c r="D50" s="126"/>
      <c r="E50" s="130"/>
      <c r="F50" s="130">
        <v>632</v>
      </c>
      <c r="G50" s="193" t="s">
        <v>246</v>
      </c>
      <c r="H50" s="570">
        <v>164700</v>
      </c>
      <c r="I50" s="570">
        <v>135341</v>
      </c>
      <c r="J50" s="966">
        <f t="shared" si="5"/>
        <v>82.174256223436544</v>
      </c>
      <c r="K50" s="128"/>
      <c r="L50" s="570"/>
      <c r="M50" s="570"/>
      <c r="N50" s="966"/>
      <c r="O50" s="128"/>
      <c r="P50" s="572">
        <f t="shared" si="21"/>
        <v>164700</v>
      </c>
      <c r="Q50" s="572">
        <f t="shared" si="22"/>
        <v>135341</v>
      </c>
      <c r="R50" s="986">
        <f t="shared" si="7"/>
        <v>82.174256223436544</v>
      </c>
    </row>
    <row r="51" spans="2:18" ht="12" customHeight="1" x14ac:dyDescent="0.2">
      <c r="B51" s="172">
        <f t="shared" si="8"/>
        <v>46</v>
      </c>
      <c r="C51" s="126"/>
      <c r="D51" s="126"/>
      <c r="E51" s="130"/>
      <c r="F51" s="130">
        <v>633</v>
      </c>
      <c r="G51" s="193" t="s">
        <v>247</v>
      </c>
      <c r="H51" s="570">
        <f>38000+810</f>
        <v>38810</v>
      </c>
      <c r="I51" s="570">
        <v>36936</v>
      </c>
      <c r="J51" s="966">
        <f t="shared" si="5"/>
        <v>95.171347590827111</v>
      </c>
      <c r="K51" s="128"/>
      <c r="L51" s="570"/>
      <c r="M51" s="570"/>
      <c r="N51" s="966"/>
      <c r="O51" s="128"/>
      <c r="P51" s="572">
        <f t="shared" si="21"/>
        <v>38810</v>
      </c>
      <c r="Q51" s="572">
        <f t="shared" si="22"/>
        <v>36936</v>
      </c>
      <c r="R51" s="986">
        <f t="shared" si="7"/>
        <v>95.171347590827111</v>
      </c>
    </row>
    <row r="52" spans="2:18" ht="12" customHeight="1" x14ac:dyDescent="0.2">
      <c r="B52" s="172">
        <f t="shared" si="8"/>
        <v>47</v>
      </c>
      <c r="C52" s="126"/>
      <c r="D52" s="126"/>
      <c r="E52" s="130"/>
      <c r="F52" s="130">
        <v>635</v>
      </c>
      <c r="G52" s="193" t="s">
        <v>261</v>
      </c>
      <c r="H52" s="570">
        <f>35000-5000</f>
        <v>30000</v>
      </c>
      <c r="I52" s="570">
        <v>18074</v>
      </c>
      <c r="J52" s="966">
        <f t="shared" si="5"/>
        <v>60.24666666666667</v>
      </c>
      <c r="K52" s="128"/>
      <c r="L52" s="570"/>
      <c r="M52" s="570"/>
      <c r="N52" s="966"/>
      <c r="O52" s="128"/>
      <c r="P52" s="572">
        <f t="shared" si="21"/>
        <v>30000</v>
      </c>
      <c r="Q52" s="572">
        <f t="shared" si="22"/>
        <v>18074</v>
      </c>
      <c r="R52" s="986">
        <f t="shared" si="7"/>
        <v>60.24666666666667</v>
      </c>
    </row>
    <row r="53" spans="2:18" ht="12" customHeight="1" x14ac:dyDescent="0.2">
      <c r="B53" s="172">
        <f t="shared" si="8"/>
        <v>48</v>
      </c>
      <c r="C53" s="126"/>
      <c r="D53" s="126"/>
      <c r="E53" s="130"/>
      <c r="F53" s="130">
        <v>637</v>
      </c>
      <c r="G53" s="193" t="s">
        <v>248</v>
      </c>
      <c r="H53" s="570">
        <v>215000</v>
      </c>
      <c r="I53" s="570">
        <f>192488+10985</f>
        <v>203473</v>
      </c>
      <c r="J53" s="966">
        <f t="shared" si="5"/>
        <v>94.638604651162794</v>
      </c>
      <c r="K53" s="128"/>
      <c r="L53" s="570"/>
      <c r="M53" s="570"/>
      <c r="N53" s="966"/>
      <c r="O53" s="128"/>
      <c r="P53" s="572">
        <f t="shared" si="21"/>
        <v>215000</v>
      </c>
      <c r="Q53" s="572">
        <f t="shared" si="22"/>
        <v>203473</v>
      </c>
      <c r="R53" s="986">
        <f t="shared" si="7"/>
        <v>94.638604651162794</v>
      </c>
    </row>
    <row r="54" spans="2:18" ht="12" customHeight="1" x14ac:dyDescent="0.2">
      <c r="B54" s="172">
        <f t="shared" si="8"/>
        <v>49</v>
      </c>
      <c r="C54" s="126"/>
      <c r="D54" s="126"/>
      <c r="E54" s="127" t="s">
        <v>669</v>
      </c>
      <c r="F54" s="154">
        <v>640</v>
      </c>
      <c r="G54" s="201" t="s">
        <v>302</v>
      </c>
      <c r="H54" s="387">
        <f>35000-364</f>
        <v>34636</v>
      </c>
      <c r="I54" s="387">
        <v>13358</v>
      </c>
      <c r="J54" s="965">
        <f t="shared" si="5"/>
        <v>38.566809100358007</v>
      </c>
      <c r="K54" s="128"/>
      <c r="L54" s="570"/>
      <c r="M54" s="570"/>
      <c r="N54" s="966"/>
      <c r="O54" s="128"/>
      <c r="P54" s="150">
        <f t="shared" si="21"/>
        <v>34636</v>
      </c>
      <c r="Q54" s="150">
        <f t="shared" si="22"/>
        <v>13358</v>
      </c>
      <c r="R54" s="1001">
        <f t="shared" si="7"/>
        <v>38.566809100358007</v>
      </c>
    </row>
    <row r="55" spans="2:18" x14ac:dyDescent="0.2">
      <c r="B55" s="172">
        <f t="shared" si="8"/>
        <v>50</v>
      </c>
      <c r="C55" s="126"/>
      <c r="D55" s="126"/>
      <c r="E55" s="130" t="s">
        <v>566</v>
      </c>
      <c r="F55" s="149">
        <v>650</v>
      </c>
      <c r="G55" s="201" t="s">
        <v>565</v>
      </c>
      <c r="H55" s="387">
        <f>370000-11475-5000-45000-7000-35000-10758</f>
        <v>255767</v>
      </c>
      <c r="I55" s="387">
        <v>207520</v>
      </c>
      <c r="J55" s="965">
        <f t="shared" si="5"/>
        <v>81.136346753099502</v>
      </c>
      <c r="K55" s="128"/>
      <c r="L55" s="570"/>
      <c r="M55" s="570"/>
      <c r="N55" s="966"/>
      <c r="O55" s="128"/>
      <c r="P55" s="150">
        <f t="shared" si="21"/>
        <v>255767</v>
      </c>
      <c r="Q55" s="150">
        <f t="shared" si="22"/>
        <v>207520</v>
      </c>
      <c r="R55" s="1001">
        <f t="shared" si="7"/>
        <v>81.136346753099502</v>
      </c>
    </row>
    <row r="56" spans="2:18" ht="16.5" customHeight="1" x14ac:dyDescent="0.25">
      <c r="B56" s="172">
        <f t="shared" si="8"/>
        <v>51</v>
      </c>
      <c r="C56" s="23">
        <v>6</v>
      </c>
      <c r="D56" s="123" t="s">
        <v>237</v>
      </c>
      <c r="E56" s="24"/>
      <c r="F56" s="24"/>
      <c r="G56" s="192"/>
      <c r="H56" s="413">
        <f>H58+H57</f>
        <v>7000</v>
      </c>
      <c r="I56" s="413">
        <f t="shared" ref="I56" si="26">I58+I57</f>
        <v>5082</v>
      </c>
      <c r="J56" s="972">
        <f t="shared" si="5"/>
        <v>72.599999999999994</v>
      </c>
      <c r="K56" s="86"/>
      <c r="L56" s="378">
        <v>0</v>
      </c>
      <c r="M56" s="378">
        <v>0</v>
      </c>
      <c r="N56" s="971">
        <v>0</v>
      </c>
      <c r="O56" s="86"/>
      <c r="P56" s="372">
        <f t="shared" si="21"/>
        <v>7000</v>
      </c>
      <c r="Q56" s="372">
        <f t="shared" si="22"/>
        <v>5082</v>
      </c>
      <c r="R56" s="981">
        <f t="shared" si="7"/>
        <v>72.599999999999994</v>
      </c>
    </row>
    <row r="57" spans="2:18" x14ac:dyDescent="0.2">
      <c r="B57" s="172">
        <f t="shared" si="8"/>
        <v>52</v>
      </c>
      <c r="C57" s="131"/>
      <c r="D57" s="131"/>
      <c r="E57" s="568" t="s">
        <v>669</v>
      </c>
      <c r="F57" s="568">
        <v>631</v>
      </c>
      <c r="G57" s="204" t="s">
        <v>485</v>
      </c>
      <c r="H57" s="570">
        <v>2500</v>
      </c>
      <c r="I57" s="570">
        <v>1552</v>
      </c>
      <c r="J57" s="966">
        <f t="shared" si="5"/>
        <v>62.08</v>
      </c>
      <c r="K57" s="128"/>
      <c r="L57" s="570"/>
      <c r="M57" s="570"/>
      <c r="N57" s="966"/>
      <c r="O57" s="128"/>
      <c r="P57" s="572">
        <f t="shared" si="21"/>
        <v>2500</v>
      </c>
      <c r="Q57" s="572">
        <f t="shared" si="22"/>
        <v>1552</v>
      </c>
      <c r="R57" s="986">
        <f t="shared" si="7"/>
        <v>62.08</v>
      </c>
    </row>
    <row r="58" spans="2:18" x14ac:dyDescent="0.2">
      <c r="B58" s="172">
        <f t="shared" si="8"/>
        <v>53</v>
      </c>
      <c r="C58" s="126"/>
      <c r="D58" s="126"/>
      <c r="E58" s="568" t="s">
        <v>428</v>
      </c>
      <c r="F58" s="130">
        <v>637</v>
      </c>
      <c r="G58" s="193" t="s">
        <v>486</v>
      </c>
      <c r="H58" s="570">
        <v>4500</v>
      </c>
      <c r="I58" s="570">
        <v>3530</v>
      </c>
      <c r="J58" s="966">
        <f t="shared" si="5"/>
        <v>78.444444444444457</v>
      </c>
      <c r="K58" s="148"/>
      <c r="L58" s="570"/>
      <c r="M58" s="570"/>
      <c r="N58" s="966"/>
      <c r="O58" s="148"/>
      <c r="P58" s="572">
        <f t="shared" si="21"/>
        <v>4500</v>
      </c>
      <c r="Q58" s="572">
        <f t="shared" si="22"/>
        <v>3530</v>
      </c>
      <c r="R58" s="986">
        <f t="shared" si="7"/>
        <v>78.444444444444457</v>
      </c>
    </row>
    <row r="59" spans="2:18" ht="17.25" customHeight="1" x14ac:dyDescent="0.25">
      <c r="B59" s="172">
        <f t="shared" si="8"/>
        <v>54</v>
      </c>
      <c r="C59" s="23">
        <v>7</v>
      </c>
      <c r="D59" s="123" t="s">
        <v>134</v>
      </c>
      <c r="E59" s="24"/>
      <c r="F59" s="24"/>
      <c r="G59" s="192"/>
      <c r="H59" s="416">
        <f>SUM(H60:H62)</f>
        <v>131290</v>
      </c>
      <c r="I59" s="416">
        <f t="shared" ref="I59" si="27">SUM(I60:I62)</f>
        <v>128964</v>
      </c>
      <c r="J59" s="971">
        <f t="shared" si="5"/>
        <v>98.228349455404057</v>
      </c>
      <c r="K59" s="86"/>
      <c r="L59" s="378">
        <f>SUM(L64:L65)</f>
        <v>15000</v>
      </c>
      <c r="M59" s="378">
        <f t="shared" ref="M59" si="28">SUM(M64:M65)</f>
        <v>14574</v>
      </c>
      <c r="N59" s="971">
        <f t="shared" si="11"/>
        <v>97.16</v>
      </c>
      <c r="O59" s="86"/>
      <c r="P59" s="372">
        <f t="shared" si="21"/>
        <v>146290</v>
      </c>
      <c r="Q59" s="372">
        <f t="shared" si="22"/>
        <v>143538</v>
      </c>
      <c r="R59" s="981">
        <f t="shared" si="7"/>
        <v>98.118805113131444</v>
      </c>
    </row>
    <row r="60" spans="2:18" ht="12" customHeight="1" x14ac:dyDescent="0.2">
      <c r="B60" s="172">
        <f t="shared" si="8"/>
        <v>55</v>
      </c>
      <c r="C60" s="126"/>
      <c r="D60" s="126"/>
      <c r="E60" s="568" t="s">
        <v>669</v>
      </c>
      <c r="F60" s="130">
        <v>632</v>
      </c>
      <c r="G60" s="193" t="s">
        <v>640</v>
      </c>
      <c r="H60" s="570">
        <f>4700+600-2000</f>
        <v>3300</v>
      </c>
      <c r="I60" s="398">
        <v>3167</v>
      </c>
      <c r="J60" s="966">
        <f t="shared" si="5"/>
        <v>95.969696969696969</v>
      </c>
      <c r="K60" s="128"/>
      <c r="L60" s="570"/>
      <c r="M60" s="570"/>
      <c r="N60" s="966"/>
      <c r="O60" s="128"/>
      <c r="P60" s="572">
        <f t="shared" si="21"/>
        <v>3300</v>
      </c>
      <c r="Q60" s="572">
        <f t="shared" si="22"/>
        <v>3167</v>
      </c>
      <c r="R60" s="986">
        <f t="shared" si="7"/>
        <v>95.969696969696969</v>
      </c>
    </row>
    <row r="61" spans="2:18" ht="12" customHeight="1" x14ac:dyDescent="0.2">
      <c r="B61" s="172">
        <f t="shared" si="8"/>
        <v>56</v>
      </c>
      <c r="C61" s="126"/>
      <c r="D61" s="126"/>
      <c r="E61" s="568" t="s">
        <v>669</v>
      </c>
      <c r="F61" s="130">
        <v>633</v>
      </c>
      <c r="G61" s="193" t="s">
        <v>487</v>
      </c>
      <c r="H61" s="570">
        <f>21000-810+4000</f>
        <v>24190</v>
      </c>
      <c r="I61" s="398">
        <f>24407-220</f>
        <v>24187</v>
      </c>
      <c r="J61" s="966">
        <f t="shared" si="5"/>
        <v>99.987598181066559</v>
      </c>
      <c r="K61" s="128"/>
      <c r="L61" s="570"/>
      <c r="M61" s="570"/>
      <c r="N61" s="966"/>
      <c r="O61" s="128"/>
      <c r="P61" s="572">
        <f t="shared" si="21"/>
        <v>24190</v>
      </c>
      <c r="Q61" s="572">
        <f t="shared" si="22"/>
        <v>24187</v>
      </c>
      <c r="R61" s="986">
        <f t="shared" si="7"/>
        <v>99.987598181066559</v>
      </c>
    </row>
    <row r="62" spans="2:18" ht="12" customHeight="1" x14ac:dyDescent="0.2">
      <c r="B62" s="172">
        <f t="shared" si="8"/>
        <v>57</v>
      </c>
      <c r="C62" s="126"/>
      <c r="D62" s="126"/>
      <c r="E62" s="568" t="s">
        <v>669</v>
      </c>
      <c r="F62" s="130">
        <v>635</v>
      </c>
      <c r="G62" s="193" t="s">
        <v>488</v>
      </c>
      <c r="H62" s="570">
        <f>97000+10000-500-2700</f>
        <v>103800</v>
      </c>
      <c r="I62" s="398">
        <f>101390+220</f>
        <v>101610</v>
      </c>
      <c r="J62" s="966">
        <f t="shared" si="5"/>
        <v>97.890173410404628</v>
      </c>
      <c r="K62" s="128"/>
      <c r="L62" s="570"/>
      <c r="M62" s="570"/>
      <c r="N62" s="966"/>
      <c r="O62" s="128"/>
      <c r="P62" s="572">
        <f t="shared" si="21"/>
        <v>103800</v>
      </c>
      <c r="Q62" s="572">
        <f t="shared" si="22"/>
        <v>101610</v>
      </c>
      <c r="R62" s="986">
        <f t="shared" si="7"/>
        <v>97.890173410404628</v>
      </c>
    </row>
    <row r="63" spans="2:18" ht="12" customHeight="1" x14ac:dyDescent="0.2">
      <c r="B63" s="172">
        <f t="shared" si="8"/>
        <v>58</v>
      </c>
      <c r="C63" s="126"/>
      <c r="D63" s="126"/>
      <c r="E63" s="130"/>
      <c r="F63" s="130"/>
      <c r="G63" s="193"/>
      <c r="H63" s="570"/>
      <c r="I63" s="570"/>
      <c r="J63" s="966"/>
      <c r="K63" s="128"/>
      <c r="L63" s="570"/>
      <c r="M63" s="570"/>
      <c r="N63" s="966"/>
      <c r="O63" s="128"/>
      <c r="P63" s="572"/>
      <c r="Q63" s="572"/>
      <c r="R63" s="986"/>
    </row>
    <row r="64" spans="2:18" x14ac:dyDescent="0.2">
      <c r="B64" s="172">
        <f t="shared" si="8"/>
        <v>59</v>
      </c>
      <c r="C64" s="126"/>
      <c r="D64" s="126"/>
      <c r="E64" s="568" t="s">
        <v>669</v>
      </c>
      <c r="F64" s="130">
        <v>711</v>
      </c>
      <c r="G64" s="193" t="s">
        <v>681</v>
      </c>
      <c r="H64" s="570"/>
      <c r="I64" s="570"/>
      <c r="J64" s="966"/>
      <c r="K64" s="128"/>
      <c r="L64" s="570">
        <f>10000-5000</f>
        <v>5000</v>
      </c>
      <c r="M64" s="570">
        <v>4860</v>
      </c>
      <c r="N64" s="966">
        <f t="shared" si="11"/>
        <v>97.2</v>
      </c>
      <c r="O64" s="128"/>
      <c r="P64" s="572">
        <f t="shared" ref="P64:P70" si="29">H64+L64</f>
        <v>5000</v>
      </c>
      <c r="Q64" s="572">
        <f t="shared" ref="Q64:Q70" si="30">I64+M64</f>
        <v>4860</v>
      </c>
      <c r="R64" s="986">
        <f t="shared" si="7"/>
        <v>97.2</v>
      </c>
    </row>
    <row r="65" spans="2:18" x14ac:dyDescent="0.2">
      <c r="B65" s="172">
        <f t="shared" si="8"/>
        <v>60</v>
      </c>
      <c r="C65" s="126"/>
      <c r="D65" s="160"/>
      <c r="E65" s="568" t="s">
        <v>669</v>
      </c>
      <c r="F65" s="130">
        <v>713</v>
      </c>
      <c r="G65" s="193" t="s">
        <v>680</v>
      </c>
      <c r="H65" s="570"/>
      <c r="I65" s="570"/>
      <c r="J65" s="966"/>
      <c r="K65" s="128"/>
      <c r="L65" s="381">
        <v>10000</v>
      </c>
      <c r="M65" s="381">
        <v>9714</v>
      </c>
      <c r="N65" s="978">
        <f t="shared" si="11"/>
        <v>97.14</v>
      </c>
      <c r="O65" s="128"/>
      <c r="P65" s="161">
        <f t="shared" si="29"/>
        <v>10000</v>
      </c>
      <c r="Q65" s="161">
        <f t="shared" si="30"/>
        <v>9714</v>
      </c>
      <c r="R65" s="1000">
        <f t="shared" si="7"/>
        <v>97.14</v>
      </c>
    </row>
    <row r="66" spans="2:18" ht="15.75" customHeight="1" x14ac:dyDescent="0.25">
      <c r="B66" s="172">
        <f t="shared" si="8"/>
        <v>61</v>
      </c>
      <c r="C66" s="23">
        <v>8</v>
      </c>
      <c r="D66" s="123" t="s">
        <v>135</v>
      </c>
      <c r="E66" s="24"/>
      <c r="F66" s="24"/>
      <c r="G66" s="192"/>
      <c r="H66" s="413">
        <f>SUM(H67:H69)</f>
        <v>27430</v>
      </c>
      <c r="I66" s="413">
        <f t="shared" ref="I66" si="31">SUM(I67:I69)</f>
        <v>22102</v>
      </c>
      <c r="J66" s="972">
        <f t="shared" si="5"/>
        <v>80.57601166605906</v>
      </c>
      <c r="K66" s="86"/>
      <c r="L66" s="378">
        <f>SUM(L67:L70)</f>
        <v>12000</v>
      </c>
      <c r="M66" s="378">
        <f t="shared" ref="M66" si="32">SUM(M67:M70)</f>
        <v>11333</v>
      </c>
      <c r="N66" s="971">
        <f t="shared" si="11"/>
        <v>94.441666666666663</v>
      </c>
      <c r="O66" s="86"/>
      <c r="P66" s="372">
        <f t="shared" si="29"/>
        <v>39430</v>
      </c>
      <c r="Q66" s="372">
        <f t="shared" si="30"/>
        <v>33435</v>
      </c>
      <c r="R66" s="981">
        <f t="shared" si="7"/>
        <v>84.795840730408329</v>
      </c>
    </row>
    <row r="67" spans="2:18" ht="12" customHeight="1" x14ac:dyDescent="0.2">
      <c r="B67" s="172">
        <f t="shared" si="8"/>
        <v>62</v>
      </c>
      <c r="C67" s="126"/>
      <c r="D67" s="126"/>
      <c r="E67" s="568" t="s">
        <v>669</v>
      </c>
      <c r="F67" s="130">
        <v>634</v>
      </c>
      <c r="G67" s="193" t="s">
        <v>531</v>
      </c>
      <c r="H67" s="570">
        <f>25000-4000</f>
        <v>21000</v>
      </c>
      <c r="I67" s="570">
        <f>21587-I68</f>
        <v>19447</v>
      </c>
      <c r="J67" s="966">
        <f t="shared" si="5"/>
        <v>92.604761904761901</v>
      </c>
      <c r="K67" s="128"/>
      <c r="L67" s="570"/>
      <c r="M67" s="570"/>
      <c r="N67" s="966"/>
      <c r="O67" s="128"/>
      <c r="P67" s="572">
        <f t="shared" si="29"/>
        <v>21000</v>
      </c>
      <c r="Q67" s="572">
        <f t="shared" si="30"/>
        <v>19447</v>
      </c>
      <c r="R67" s="986">
        <f t="shared" si="7"/>
        <v>92.604761904761901</v>
      </c>
    </row>
    <row r="68" spans="2:18" ht="12" customHeight="1" x14ac:dyDescent="0.2">
      <c r="B68" s="172">
        <f t="shared" si="8"/>
        <v>63</v>
      </c>
      <c r="C68" s="126"/>
      <c r="D68" s="160"/>
      <c r="E68" s="568" t="s">
        <v>669</v>
      </c>
      <c r="F68" s="568">
        <v>634</v>
      </c>
      <c r="G68" s="193" t="s">
        <v>533</v>
      </c>
      <c r="H68" s="570">
        <v>5800</v>
      </c>
      <c r="I68" s="570">
        <v>2140</v>
      </c>
      <c r="J68" s="966">
        <f t="shared" si="5"/>
        <v>36.896551724137936</v>
      </c>
      <c r="K68" s="128"/>
      <c r="L68" s="381"/>
      <c r="M68" s="381"/>
      <c r="N68" s="978"/>
      <c r="O68" s="128"/>
      <c r="P68" s="161">
        <f t="shared" si="29"/>
        <v>5800</v>
      </c>
      <c r="Q68" s="161">
        <f t="shared" si="30"/>
        <v>2140</v>
      </c>
      <c r="R68" s="1000">
        <f t="shared" si="7"/>
        <v>36.896551724137936</v>
      </c>
    </row>
    <row r="69" spans="2:18" ht="12" customHeight="1" x14ac:dyDescent="0.2">
      <c r="B69" s="172">
        <f t="shared" si="8"/>
        <v>64</v>
      </c>
      <c r="C69" s="126"/>
      <c r="D69" s="160"/>
      <c r="E69" s="568" t="s">
        <v>669</v>
      </c>
      <c r="F69" s="130">
        <v>637</v>
      </c>
      <c r="G69" s="193" t="s">
        <v>532</v>
      </c>
      <c r="H69" s="570">
        <v>630</v>
      </c>
      <c r="I69" s="570">
        <v>515</v>
      </c>
      <c r="J69" s="966">
        <f t="shared" si="5"/>
        <v>81.746031746031747</v>
      </c>
      <c r="K69" s="128"/>
      <c r="L69" s="381"/>
      <c r="M69" s="381"/>
      <c r="N69" s="978"/>
      <c r="O69" s="128"/>
      <c r="P69" s="161">
        <f t="shared" si="29"/>
        <v>630</v>
      </c>
      <c r="Q69" s="161">
        <f t="shared" si="30"/>
        <v>515</v>
      </c>
      <c r="R69" s="1000">
        <f t="shared" si="7"/>
        <v>81.746031746031747</v>
      </c>
    </row>
    <row r="70" spans="2:18" ht="13.5" thickBot="1" x14ac:dyDescent="0.25">
      <c r="B70" s="349">
        <f>B69+1</f>
        <v>65</v>
      </c>
      <c r="C70" s="350"/>
      <c r="D70" s="369"/>
      <c r="E70" s="213" t="s">
        <v>669</v>
      </c>
      <c r="F70" s="213">
        <v>714</v>
      </c>
      <c r="G70" s="355" t="s">
        <v>523</v>
      </c>
      <c r="H70" s="384"/>
      <c r="I70" s="384"/>
      <c r="J70" s="991"/>
      <c r="K70" s="137"/>
      <c r="L70" s="388">
        <f>12000</f>
        <v>12000</v>
      </c>
      <c r="M70" s="388">
        <v>11333</v>
      </c>
      <c r="N70" s="998">
        <f t="shared" si="11"/>
        <v>94.441666666666663</v>
      </c>
      <c r="O70" s="137"/>
      <c r="P70" s="310">
        <f t="shared" si="29"/>
        <v>12000</v>
      </c>
      <c r="Q70" s="310">
        <f t="shared" si="30"/>
        <v>11333</v>
      </c>
      <c r="R70" s="1002">
        <f t="shared" si="7"/>
        <v>94.441666666666663</v>
      </c>
    </row>
    <row r="71" spans="2:18" x14ac:dyDescent="0.2">
      <c r="B71" s="72"/>
      <c r="C71" s="250"/>
      <c r="D71" s="250"/>
      <c r="E71" s="250"/>
      <c r="F71" s="250"/>
      <c r="G71" s="309"/>
      <c r="H71" s="496"/>
      <c r="I71" s="496"/>
      <c r="J71" s="496"/>
      <c r="K71" s="128"/>
      <c r="L71" s="496"/>
      <c r="M71" s="496"/>
      <c r="N71" s="496"/>
      <c r="O71" s="128"/>
      <c r="P71" s="497"/>
    </row>
  </sheetData>
  <mergeCells count="14">
    <mergeCell ref="Q3:Q5"/>
    <mergeCell ref="R3:R5"/>
    <mergeCell ref="I4:I5"/>
    <mergeCell ref="J4:J5"/>
    <mergeCell ref="M4:M5"/>
    <mergeCell ref="N4:N5"/>
    <mergeCell ref="B3:N3"/>
    <mergeCell ref="P3:P5"/>
    <mergeCell ref="C4:C5"/>
    <mergeCell ref="D4:D5"/>
    <mergeCell ref="E4:E5"/>
    <mergeCell ref="F4:F5"/>
    <mergeCell ref="H4:H5"/>
    <mergeCell ref="L4:L5"/>
  </mergeCells>
  <pageMargins left="0.33" right="0.23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666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6.28515625" style="76" customWidth="1"/>
    <col min="11" max="11" width="1.42578125" style="76" customWidth="1"/>
    <col min="12" max="13" width="14.28515625" style="76" customWidth="1"/>
    <col min="14" max="14" width="5.7109375" style="76" customWidth="1"/>
    <col min="15" max="15" width="1.42578125" style="76" customWidth="1"/>
    <col min="16" max="16" width="12.85546875" style="76" customWidth="1"/>
    <col min="17" max="17" width="12.28515625" customWidth="1"/>
    <col min="18" max="18" width="6" style="1007" customWidth="1"/>
  </cols>
  <sheetData>
    <row r="1" spans="2:18" x14ac:dyDescent="0.2">
      <c r="B1" s="72"/>
      <c r="C1" s="250"/>
      <c r="D1" s="250"/>
      <c r="E1" s="250"/>
      <c r="F1" s="250"/>
      <c r="G1" s="309"/>
      <c r="H1" s="496"/>
      <c r="I1" s="496"/>
      <c r="J1" s="496"/>
      <c r="K1" s="128"/>
      <c r="L1" s="496"/>
      <c r="M1" s="496"/>
      <c r="N1" s="496"/>
      <c r="O1" s="128"/>
      <c r="P1" s="497"/>
    </row>
    <row r="2" spans="2:18" ht="28.5" customHeight="1" thickBot="1" x14ac:dyDescent="0.4">
      <c r="B2" s="248" t="s">
        <v>208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2:18" ht="13.5" customHeight="1" thickBot="1" x14ac:dyDescent="0.25">
      <c r="B3" s="1131" t="s">
        <v>632</v>
      </c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3"/>
      <c r="O3" s="116"/>
      <c r="P3" s="1125" t="s">
        <v>716</v>
      </c>
      <c r="Q3" s="1125" t="s">
        <v>886</v>
      </c>
      <c r="R3" s="1128" t="s">
        <v>887</v>
      </c>
    </row>
    <row r="4" spans="2:18" ht="34.5" customHeight="1" thickTop="1" x14ac:dyDescent="0.2">
      <c r="B4" s="552"/>
      <c r="C4" s="1123" t="s">
        <v>478</v>
      </c>
      <c r="D4" s="1123" t="s">
        <v>477</v>
      </c>
      <c r="E4" s="1123" t="s">
        <v>475</v>
      </c>
      <c r="F4" s="1123" t="s">
        <v>476</v>
      </c>
      <c r="G4" s="871" t="s">
        <v>3</v>
      </c>
      <c r="H4" s="1135" t="s">
        <v>902</v>
      </c>
      <c r="I4" s="1135" t="s">
        <v>903</v>
      </c>
      <c r="J4" s="1139" t="s">
        <v>887</v>
      </c>
      <c r="L4" s="1137" t="s">
        <v>904</v>
      </c>
      <c r="M4" s="1137" t="s">
        <v>905</v>
      </c>
      <c r="N4" s="1139" t="s">
        <v>887</v>
      </c>
      <c r="P4" s="1126"/>
      <c r="Q4" s="1126"/>
      <c r="R4" s="1129"/>
    </row>
    <row r="5" spans="2:18" ht="26.25" customHeight="1" thickBot="1" x14ac:dyDescent="0.25">
      <c r="B5" s="552"/>
      <c r="C5" s="1123"/>
      <c r="D5" s="1123"/>
      <c r="E5" s="1123"/>
      <c r="F5" s="1123"/>
      <c r="G5" s="871"/>
      <c r="H5" s="1136"/>
      <c r="I5" s="1136"/>
      <c r="J5" s="1140"/>
      <c r="L5" s="1138"/>
      <c r="M5" s="1138"/>
      <c r="N5" s="1140"/>
      <c r="P5" s="1127"/>
      <c r="Q5" s="1127"/>
      <c r="R5" s="1130"/>
    </row>
    <row r="6" spans="2:18" ht="21.75" customHeight="1" thickTop="1" thickBot="1" x14ac:dyDescent="0.25">
      <c r="B6" s="553">
        <v>1</v>
      </c>
      <c r="C6" s="926" t="s">
        <v>209</v>
      </c>
      <c r="D6" s="927"/>
      <c r="E6" s="927"/>
      <c r="F6" s="927"/>
      <c r="G6" s="203"/>
      <c r="H6" s="417">
        <f>H7+H11+H21+H30+H40+H51+H62+H72</f>
        <v>471589</v>
      </c>
      <c r="I6" s="417">
        <f>I7+I11+I21+I30+I40+I51+I62+I72</f>
        <v>432390</v>
      </c>
      <c r="J6" s="1005">
        <f>I6/H6*100</f>
        <v>91.687889242539583</v>
      </c>
      <c r="K6" s="111"/>
      <c r="L6" s="406">
        <f>L7+L11+L21+L30+L40+L51+L62+L72</f>
        <v>126635</v>
      </c>
      <c r="M6" s="406">
        <f>M7+M11+M21+M30+M40+M51+M62+M72</f>
        <v>102687</v>
      </c>
      <c r="N6" s="1005">
        <f>M6/L6*100</f>
        <v>81.088956449638729</v>
      </c>
      <c r="O6" s="111"/>
      <c r="P6" s="371">
        <f t="shared" ref="P6:P28" si="0">H6+L6</f>
        <v>598224</v>
      </c>
      <c r="Q6" s="371">
        <f t="shared" ref="Q6:Q68" si="1">I6+M6</f>
        <v>535077</v>
      </c>
      <c r="R6" s="992">
        <f>Q6/P6*100</f>
        <v>89.444254994784572</v>
      </c>
    </row>
    <row r="7" spans="2:18" ht="20.25" customHeight="1" thickTop="1" x14ac:dyDescent="0.25">
      <c r="B7" s="172">
        <f>B6+1</f>
        <v>2</v>
      </c>
      <c r="C7" s="23">
        <v>1</v>
      </c>
      <c r="D7" s="123" t="s">
        <v>102</v>
      </c>
      <c r="E7" s="24"/>
      <c r="F7" s="24"/>
      <c r="G7" s="192"/>
      <c r="H7" s="412">
        <f>SUM(H8:H10)</f>
        <v>25250</v>
      </c>
      <c r="I7" s="412">
        <f t="shared" ref="I7" si="2">SUM(I8:I10)</f>
        <v>24221</v>
      </c>
      <c r="J7" s="994">
        <f t="shared" ref="J7:J70" si="3">I7/H7*100</f>
        <v>95.924752475247516</v>
      </c>
      <c r="K7" s="86"/>
      <c r="L7" s="817">
        <v>0</v>
      </c>
      <c r="M7" s="817">
        <v>0</v>
      </c>
      <c r="N7" s="975"/>
      <c r="O7" s="86"/>
      <c r="P7" s="372">
        <f t="shared" si="0"/>
        <v>25250</v>
      </c>
      <c r="Q7" s="372">
        <f t="shared" si="1"/>
        <v>24221</v>
      </c>
      <c r="R7" s="981">
        <f t="shared" ref="R7:R70" si="4">Q7/P7*100</f>
        <v>95.924752475247516</v>
      </c>
    </row>
    <row r="8" spans="2:18" x14ac:dyDescent="0.2">
      <c r="B8" s="172">
        <f t="shared" ref="B8:B71" si="5">B7+1</f>
        <v>3</v>
      </c>
      <c r="C8" s="126"/>
      <c r="D8" s="127"/>
      <c r="E8" s="127" t="s">
        <v>670</v>
      </c>
      <c r="F8" s="127" t="s">
        <v>212</v>
      </c>
      <c r="G8" s="193" t="s">
        <v>259</v>
      </c>
      <c r="H8" s="570">
        <v>3600</v>
      </c>
      <c r="I8" s="570">
        <v>3535</v>
      </c>
      <c r="J8" s="966">
        <f t="shared" si="3"/>
        <v>98.194444444444443</v>
      </c>
      <c r="K8" s="128"/>
      <c r="L8" s="446"/>
      <c r="M8" s="446"/>
      <c r="N8" s="976"/>
      <c r="O8" s="128"/>
      <c r="P8" s="133">
        <f t="shared" si="0"/>
        <v>3600</v>
      </c>
      <c r="Q8" s="133">
        <f t="shared" si="1"/>
        <v>3535</v>
      </c>
      <c r="R8" s="983">
        <f t="shared" si="4"/>
        <v>98.194444444444443</v>
      </c>
    </row>
    <row r="9" spans="2:18" x14ac:dyDescent="0.2">
      <c r="B9" s="172">
        <f t="shared" si="5"/>
        <v>4</v>
      </c>
      <c r="C9" s="126"/>
      <c r="D9" s="127"/>
      <c r="E9" s="127" t="s">
        <v>670</v>
      </c>
      <c r="F9" s="127" t="s">
        <v>200</v>
      </c>
      <c r="G9" s="193" t="s">
        <v>530</v>
      </c>
      <c r="H9" s="570">
        <v>3300</v>
      </c>
      <c r="I9" s="570">
        <v>3233</v>
      </c>
      <c r="J9" s="966">
        <f t="shared" si="3"/>
        <v>97.969696969696969</v>
      </c>
      <c r="K9" s="128"/>
      <c r="L9" s="446"/>
      <c r="M9" s="446"/>
      <c r="N9" s="976"/>
      <c r="O9" s="128"/>
      <c r="P9" s="133">
        <f t="shared" si="0"/>
        <v>3300</v>
      </c>
      <c r="Q9" s="133">
        <f t="shared" si="1"/>
        <v>3233</v>
      </c>
      <c r="R9" s="983">
        <f t="shared" si="4"/>
        <v>97.969696969696969</v>
      </c>
    </row>
    <row r="10" spans="2:18" x14ac:dyDescent="0.2">
      <c r="B10" s="172">
        <f t="shared" si="5"/>
        <v>5</v>
      </c>
      <c r="C10" s="126"/>
      <c r="D10" s="127"/>
      <c r="E10" s="127" t="s">
        <v>670</v>
      </c>
      <c r="F10" s="127" t="s">
        <v>216</v>
      </c>
      <c r="G10" s="193" t="s">
        <v>563</v>
      </c>
      <c r="H10" s="570">
        <v>18350</v>
      </c>
      <c r="I10" s="570">
        <v>17453</v>
      </c>
      <c r="J10" s="966">
        <f t="shared" si="3"/>
        <v>95.111716621253407</v>
      </c>
      <c r="K10" s="128"/>
      <c r="L10" s="446"/>
      <c r="M10" s="446"/>
      <c r="N10" s="976"/>
      <c r="O10" s="128"/>
      <c r="P10" s="133">
        <f t="shared" si="0"/>
        <v>18350</v>
      </c>
      <c r="Q10" s="133">
        <f t="shared" si="1"/>
        <v>17453</v>
      </c>
      <c r="R10" s="983">
        <f t="shared" si="4"/>
        <v>95.111716621253407</v>
      </c>
    </row>
    <row r="11" spans="2:18" ht="15.75" x14ac:dyDescent="0.25">
      <c r="B11" s="172">
        <f t="shared" si="5"/>
        <v>6</v>
      </c>
      <c r="C11" s="21">
        <v>2</v>
      </c>
      <c r="D11" s="122" t="s">
        <v>103</v>
      </c>
      <c r="E11" s="22"/>
      <c r="F11" s="22"/>
      <c r="G11" s="194"/>
      <c r="H11" s="413">
        <f>H12+H13+H14+H20</f>
        <v>87265</v>
      </c>
      <c r="I11" s="413">
        <f t="shared" ref="I11" si="6">I12+I13+I14+I20</f>
        <v>86115</v>
      </c>
      <c r="J11" s="972">
        <f t="shared" si="3"/>
        <v>98.682174984243403</v>
      </c>
      <c r="K11" s="110"/>
      <c r="L11" s="819">
        <v>0</v>
      </c>
      <c r="M11" s="819">
        <v>0</v>
      </c>
      <c r="N11" s="990"/>
      <c r="O11" s="110"/>
      <c r="P11" s="373">
        <f t="shared" si="0"/>
        <v>87265</v>
      </c>
      <c r="Q11" s="373">
        <f t="shared" si="1"/>
        <v>86115</v>
      </c>
      <c r="R11" s="984">
        <f t="shared" si="4"/>
        <v>98.682174984243403</v>
      </c>
    </row>
    <row r="12" spans="2:18" ht="12" customHeight="1" x14ac:dyDescent="0.2">
      <c r="B12" s="172">
        <f t="shared" si="5"/>
        <v>7</v>
      </c>
      <c r="C12" s="126"/>
      <c r="D12" s="126"/>
      <c r="E12" s="130" t="s">
        <v>273</v>
      </c>
      <c r="F12" s="149">
        <v>610</v>
      </c>
      <c r="G12" s="201" t="s">
        <v>257</v>
      </c>
      <c r="H12" s="387">
        <f>48000+3800+2265-1000-1000</f>
        <v>52065</v>
      </c>
      <c r="I12" s="387">
        <v>52010</v>
      </c>
      <c r="J12" s="965">
        <f t="shared" si="3"/>
        <v>99.894362815711133</v>
      </c>
      <c r="K12" s="128"/>
      <c r="L12" s="399"/>
      <c r="M12" s="399"/>
      <c r="N12" s="870"/>
      <c r="O12" s="128"/>
      <c r="P12" s="150">
        <f t="shared" si="0"/>
        <v>52065</v>
      </c>
      <c r="Q12" s="150">
        <f t="shared" si="1"/>
        <v>52010</v>
      </c>
      <c r="R12" s="1001">
        <f t="shared" si="4"/>
        <v>99.894362815711133</v>
      </c>
    </row>
    <row r="13" spans="2:18" ht="12" customHeight="1" x14ac:dyDescent="0.2">
      <c r="B13" s="172">
        <f t="shared" si="5"/>
        <v>8</v>
      </c>
      <c r="C13" s="126"/>
      <c r="D13" s="126"/>
      <c r="E13" s="130" t="s">
        <v>273</v>
      </c>
      <c r="F13" s="149">
        <v>620</v>
      </c>
      <c r="G13" s="201" t="s">
        <v>259</v>
      </c>
      <c r="H13" s="387">
        <f>18000+2300</f>
        <v>20300</v>
      </c>
      <c r="I13" s="539">
        <v>20355</v>
      </c>
      <c r="J13" s="965">
        <f t="shared" si="3"/>
        <v>100.27093596059113</v>
      </c>
      <c r="K13" s="128"/>
      <c r="L13" s="399"/>
      <c r="M13" s="399"/>
      <c r="N13" s="870"/>
      <c r="O13" s="128"/>
      <c r="P13" s="150">
        <f t="shared" si="0"/>
        <v>20300</v>
      </c>
      <c r="Q13" s="150">
        <f t="shared" si="1"/>
        <v>20355</v>
      </c>
      <c r="R13" s="1001">
        <f t="shared" si="4"/>
        <v>100.27093596059113</v>
      </c>
    </row>
    <row r="14" spans="2:18" ht="12" customHeight="1" x14ac:dyDescent="0.2">
      <c r="B14" s="172">
        <f t="shared" si="5"/>
        <v>9</v>
      </c>
      <c r="C14" s="126"/>
      <c r="D14" s="126"/>
      <c r="E14" s="130" t="s">
        <v>273</v>
      </c>
      <c r="F14" s="149">
        <v>630</v>
      </c>
      <c r="G14" s="201" t="s">
        <v>446</v>
      </c>
      <c r="H14" s="387">
        <f>SUM(H15:H19)</f>
        <v>14700</v>
      </c>
      <c r="I14" s="387">
        <f t="shared" ref="I14" si="7">SUM(I15:I19)</f>
        <v>13750</v>
      </c>
      <c r="J14" s="965">
        <f t="shared" si="3"/>
        <v>93.5374149659864</v>
      </c>
      <c r="K14" s="128"/>
      <c r="L14" s="399"/>
      <c r="M14" s="399"/>
      <c r="N14" s="870"/>
      <c r="O14" s="128"/>
      <c r="P14" s="150">
        <f t="shared" si="0"/>
        <v>14700</v>
      </c>
      <c r="Q14" s="150">
        <f t="shared" si="1"/>
        <v>13750</v>
      </c>
      <c r="R14" s="1001">
        <f t="shared" si="4"/>
        <v>93.5374149659864</v>
      </c>
    </row>
    <row r="15" spans="2:18" ht="12" customHeight="1" x14ac:dyDescent="0.2">
      <c r="B15" s="172">
        <f t="shared" si="5"/>
        <v>10</v>
      </c>
      <c r="C15" s="126"/>
      <c r="D15" s="126"/>
      <c r="E15" s="130"/>
      <c r="F15" s="130">
        <v>631</v>
      </c>
      <c r="G15" s="193" t="s">
        <v>292</v>
      </c>
      <c r="H15" s="570">
        <f>400+100-420</f>
        <v>80</v>
      </c>
      <c r="I15" s="570">
        <v>77</v>
      </c>
      <c r="J15" s="966">
        <f t="shared" si="3"/>
        <v>96.25</v>
      </c>
      <c r="K15" s="128"/>
      <c r="L15" s="399"/>
      <c r="M15" s="399"/>
      <c r="N15" s="870"/>
      <c r="O15" s="128"/>
      <c r="P15" s="572">
        <f t="shared" si="0"/>
        <v>80</v>
      </c>
      <c r="Q15" s="572">
        <f t="shared" si="1"/>
        <v>77</v>
      </c>
      <c r="R15" s="986">
        <f t="shared" si="4"/>
        <v>96.25</v>
      </c>
    </row>
    <row r="16" spans="2:18" ht="12" customHeight="1" x14ac:dyDescent="0.2">
      <c r="B16" s="172">
        <f t="shared" si="5"/>
        <v>11</v>
      </c>
      <c r="C16" s="126"/>
      <c r="D16" s="126"/>
      <c r="E16" s="130"/>
      <c r="F16" s="130">
        <v>632</v>
      </c>
      <c r="G16" s="193" t="s">
        <v>275</v>
      </c>
      <c r="H16" s="570">
        <f>1500+100+200-100+1300</f>
        <v>3000</v>
      </c>
      <c r="I16" s="570">
        <v>2661</v>
      </c>
      <c r="J16" s="966">
        <f t="shared" si="3"/>
        <v>88.7</v>
      </c>
      <c r="K16" s="128"/>
      <c r="L16" s="399"/>
      <c r="M16" s="399"/>
      <c r="N16" s="870"/>
      <c r="O16" s="128"/>
      <c r="P16" s="572">
        <f t="shared" si="0"/>
        <v>3000</v>
      </c>
      <c r="Q16" s="572">
        <f t="shared" si="1"/>
        <v>2661</v>
      </c>
      <c r="R16" s="986">
        <f t="shared" si="4"/>
        <v>88.7</v>
      </c>
    </row>
    <row r="17" spans="2:18" ht="12" customHeight="1" x14ac:dyDescent="0.2">
      <c r="B17" s="172">
        <f t="shared" si="5"/>
        <v>12</v>
      </c>
      <c r="C17" s="126"/>
      <c r="D17" s="126"/>
      <c r="E17" s="130"/>
      <c r="F17" s="130">
        <v>633</v>
      </c>
      <c r="G17" s="193" t="s">
        <v>247</v>
      </c>
      <c r="H17" s="570">
        <f>2600+200+1000+2350-1300</f>
        <v>4850</v>
      </c>
      <c r="I17" s="570">
        <v>4726</v>
      </c>
      <c r="J17" s="966">
        <f t="shared" si="3"/>
        <v>97.443298969072174</v>
      </c>
      <c r="K17" s="128"/>
      <c r="L17" s="399"/>
      <c r="M17" s="399"/>
      <c r="N17" s="870"/>
      <c r="O17" s="128"/>
      <c r="P17" s="572">
        <f t="shared" si="0"/>
        <v>4850</v>
      </c>
      <c r="Q17" s="572">
        <f t="shared" si="1"/>
        <v>4726</v>
      </c>
      <c r="R17" s="986">
        <f t="shared" si="4"/>
        <v>97.443298969072174</v>
      </c>
    </row>
    <row r="18" spans="2:18" ht="12" customHeight="1" x14ac:dyDescent="0.2">
      <c r="B18" s="172">
        <f t="shared" si="5"/>
        <v>13</v>
      </c>
      <c r="C18" s="126"/>
      <c r="D18" s="126"/>
      <c r="E18" s="130"/>
      <c r="F18" s="130">
        <v>635</v>
      </c>
      <c r="G18" s="193" t="s">
        <v>261</v>
      </c>
      <c r="H18" s="570">
        <v>100</v>
      </c>
      <c r="I18" s="570">
        <v>48</v>
      </c>
      <c r="J18" s="966">
        <f t="shared" si="3"/>
        <v>48</v>
      </c>
      <c r="K18" s="128"/>
      <c r="L18" s="399"/>
      <c r="M18" s="399"/>
      <c r="N18" s="870"/>
      <c r="O18" s="128"/>
      <c r="P18" s="572">
        <f t="shared" si="0"/>
        <v>100</v>
      </c>
      <c r="Q18" s="572">
        <f t="shared" si="1"/>
        <v>48</v>
      </c>
      <c r="R18" s="986">
        <f t="shared" si="4"/>
        <v>48</v>
      </c>
    </row>
    <row r="19" spans="2:18" x14ac:dyDescent="0.2">
      <c r="B19" s="172">
        <f t="shared" si="5"/>
        <v>14</v>
      </c>
      <c r="C19" s="126"/>
      <c r="D19" s="126"/>
      <c r="E19" s="130"/>
      <c r="F19" s="130">
        <v>637</v>
      </c>
      <c r="G19" s="193" t="s">
        <v>248</v>
      </c>
      <c r="H19" s="570">
        <f>6200+1500-200-830</f>
        <v>6670</v>
      </c>
      <c r="I19" s="570">
        <v>6238</v>
      </c>
      <c r="J19" s="966">
        <f t="shared" si="3"/>
        <v>93.523238380809588</v>
      </c>
      <c r="K19" s="128"/>
      <c r="L19" s="399"/>
      <c r="M19" s="399"/>
      <c r="N19" s="870"/>
      <c r="O19" s="128"/>
      <c r="P19" s="572">
        <f t="shared" si="0"/>
        <v>6670</v>
      </c>
      <c r="Q19" s="572">
        <f t="shared" si="1"/>
        <v>6238</v>
      </c>
      <c r="R19" s="986">
        <f t="shared" si="4"/>
        <v>93.523238380809588</v>
      </c>
    </row>
    <row r="20" spans="2:18" x14ac:dyDescent="0.2">
      <c r="B20" s="172">
        <f t="shared" si="5"/>
        <v>15</v>
      </c>
      <c r="C20" s="126"/>
      <c r="D20" s="160"/>
      <c r="E20" s="130" t="s">
        <v>273</v>
      </c>
      <c r="F20" s="149">
        <v>640</v>
      </c>
      <c r="G20" s="201" t="s">
        <v>268</v>
      </c>
      <c r="H20" s="387">
        <v>200</v>
      </c>
      <c r="I20" s="387">
        <v>0</v>
      </c>
      <c r="J20" s="965">
        <f t="shared" si="3"/>
        <v>0</v>
      </c>
      <c r="K20" s="128"/>
      <c r="L20" s="436"/>
      <c r="M20" s="436"/>
      <c r="N20" s="1003"/>
      <c r="O20" s="128"/>
      <c r="P20" s="150">
        <f t="shared" si="0"/>
        <v>200</v>
      </c>
      <c r="Q20" s="150">
        <f t="shared" si="1"/>
        <v>0</v>
      </c>
      <c r="R20" s="1001">
        <f t="shared" si="4"/>
        <v>0</v>
      </c>
    </row>
    <row r="21" spans="2:18" ht="15.75" x14ac:dyDescent="0.25">
      <c r="B21" s="172">
        <f t="shared" si="5"/>
        <v>16</v>
      </c>
      <c r="C21" s="23">
        <v>3</v>
      </c>
      <c r="D21" s="123" t="s">
        <v>137</v>
      </c>
      <c r="E21" s="24"/>
      <c r="F21" s="24"/>
      <c r="G21" s="192"/>
      <c r="H21" s="413">
        <f>H22+H23+H24+H29</f>
        <v>163125</v>
      </c>
      <c r="I21" s="413">
        <f>I22+I23+I24+I29</f>
        <v>154059</v>
      </c>
      <c r="J21" s="972">
        <f t="shared" si="3"/>
        <v>94.442298850574716</v>
      </c>
      <c r="K21" s="86"/>
      <c r="L21" s="817">
        <v>0</v>
      </c>
      <c r="M21" s="817">
        <v>0</v>
      </c>
      <c r="N21" s="975"/>
      <c r="O21" s="86"/>
      <c r="P21" s="372">
        <f t="shared" si="0"/>
        <v>163125</v>
      </c>
      <c r="Q21" s="372">
        <f t="shared" si="1"/>
        <v>154059</v>
      </c>
      <c r="R21" s="981">
        <f t="shared" si="4"/>
        <v>94.442298850574716</v>
      </c>
    </row>
    <row r="22" spans="2:18" ht="12" customHeight="1" x14ac:dyDescent="0.2">
      <c r="B22" s="172">
        <f t="shared" si="5"/>
        <v>17</v>
      </c>
      <c r="C22" s="131"/>
      <c r="D22" s="131"/>
      <c r="E22" s="130" t="s">
        <v>669</v>
      </c>
      <c r="F22" s="149">
        <v>610</v>
      </c>
      <c r="G22" s="201" t="s">
        <v>257</v>
      </c>
      <c r="H22" s="387">
        <v>111145</v>
      </c>
      <c r="I22" s="387">
        <v>103352</v>
      </c>
      <c r="J22" s="965">
        <f t="shared" si="3"/>
        <v>92.988438526249496</v>
      </c>
      <c r="K22" s="128"/>
      <c r="L22" s="399"/>
      <c r="M22" s="399"/>
      <c r="N22" s="870"/>
      <c r="O22" s="128"/>
      <c r="P22" s="150">
        <f t="shared" si="0"/>
        <v>111145</v>
      </c>
      <c r="Q22" s="150">
        <f t="shared" si="1"/>
        <v>103352</v>
      </c>
      <c r="R22" s="1001">
        <f t="shared" si="4"/>
        <v>92.988438526249496</v>
      </c>
    </row>
    <row r="23" spans="2:18" ht="12" customHeight="1" x14ac:dyDescent="0.2">
      <c r="B23" s="172">
        <f t="shared" si="5"/>
        <v>18</v>
      </c>
      <c r="C23" s="126"/>
      <c r="D23" s="126"/>
      <c r="E23" s="130" t="s">
        <v>669</v>
      </c>
      <c r="F23" s="149">
        <v>620</v>
      </c>
      <c r="G23" s="201" t="s">
        <v>259</v>
      </c>
      <c r="H23" s="387">
        <v>38510</v>
      </c>
      <c r="I23" s="387">
        <v>38158</v>
      </c>
      <c r="J23" s="965">
        <f t="shared" si="3"/>
        <v>99.085951700856924</v>
      </c>
      <c r="K23" s="128"/>
      <c r="L23" s="399"/>
      <c r="M23" s="399"/>
      <c r="N23" s="870"/>
      <c r="O23" s="128"/>
      <c r="P23" s="150">
        <f t="shared" si="0"/>
        <v>38510</v>
      </c>
      <c r="Q23" s="150">
        <f t="shared" si="1"/>
        <v>38158</v>
      </c>
      <c r="R23" s="1001">
        <f t="shared" si="4"/>
        <v>99.085951700856924</v>
      </c>
    </row>
    <row r="24" spans="2:18" ht="12" customHeight="1" x14ac:dyDescent="0.2">
      <c r="B24" s="172">
        <f t="shared" si="5"/>
        <v>19</v>
      </c>
      <c r="C24" s="126"/>
      <c r="D24" s="126"/>
      <c r="E24" s="130" t="s">
        <v>669</v>
      </c>
      <c r="F24" s="149">
        <v>630</v>
      </c>
      <c r="G24" s="201" t="s">
        <v>446</v>
      </c>
      <c r="H24" s="387">
        <f>SUM(H25:H28)</f>
        <v>13170</v>
      </c>
      <c r="I24" s="387">
        <f>SUM(I25:I28)</f>
        <v>12254</v>
      </c>
      <c r="J24" s="965">
        <f t="shared" si="3"/>
        <v>93.044798785117692</v>
      </c>
      <c r="K24" s="128"/>
      <c r="L24" s="399"/>
      <c r="M24" s="399"/>
      <c r="N24" s="870"/>
      <c r="O24" s="128"/>
      <c r="P24" s="150">
        <f t="shared" si="0"/>
        <v>13170</v>
      </c>
      <c r="Q24" s="150">
        <f t="shared" si="1"/>
        <v>12254</v>
      </c>
      <c r="R24" s="1001">
        <f t="shared" si="4"/>
        <v>93.044798785117692</v>
      </c>
    </row>
    <row r="25" spans="2:18" ht="12" customHeight="1" x14ac:dyDescent="0.2">
      <c r="B25" s="172">
        <f t="shared" si="5"/>
        <v>20</v>
      </c>
      <c r="C25" s="126"/>
      <c r="D25" s="126"/>
      <c r="E25" s="130"/>
      <c r="F25" s="130">
        <v>632</v>
      </c>
      <c r="G25" s="193" t="s">
        <v>275</v>
      </c>
      <c r="H25" s="570">
        <v>1500</v>
      </c>
      <c r="I25" s="398">
        <v>1515</v>
      </c>
      <c r="J25" s="966">
        <f t="shared" si="3"/>
        <v>101</v>
      </c>
      <c r="K25" s="128"/>
      <c r="L25" s="399"/>
      <c r="M25" s="399"/>
      <c r="N25" s="870"/>
      <c r="O25" s="128"/>
      <c r="P25" s="572">
        <f t="shared" si="0"/>
        <v>1500</v>
      </c>
      <c r="Q25" s="572">
        <f t="shared" si="1"/>
        <v>1515</v>
      </c>
      <c r="R25" s="986">
        <f t="shared" si="4"/>
        <v>101</v>
      </c>
    </row>
    <row r="26" spans="2:18" ht="12" customHeight="1" x14ac:dyDescent="0.2">
      <c r="B26" s="172">
        <f t="shared" si="5"/>
        <v>21</v>
      </c>
      <c r="C26" s="126"/>
      <c r="D26" s="126"/>
      <c r="E26" s="130"/>
      <c r="F26" s="130">
        <v>633</v>
      </c>
      <c r="G26" s="193" t="s">
        <v>418</v>
      </c>
      <c r="H26" s="570">
        <v>1900</v>
      </c>
      <c r="I26" s="570">
        <v>1773</v>
      </c>
      <c r="J26" s="966">
        <f t="shared" si="3"/>
        <v>93.315789473684205</v>
      </c>
      <c r="K26" s="128"/>
      <c r="L26" s="399"/>
      <c r="M26" s="399"/>
      <c r="N26" s="870"/>
      <c r="O26" s="128"/>
      <c r="P26" s="572">
        <f t="shared" si="0"/>
        <v>1900</v>
      </c>
      <c r="Q26" s="572">
        <f t="shared" si="1"/>
        <v>1773</v>
      </c>
      <c r="R26" s="986">
        <f t="shared" si="4"/>
        <v>93.315789473684205</v>
      </c>
    </row>
    <row r="27" spans="2:18" ht="12" customHeight="1" x14ac:dyDescent="0.2">
      <c r="B27" s="172">
        <f t="shared" si="5"/>
        <v>22</v>
      </c>
      <c r="C27" s="126"/>
      <c r="D27" s="126"/>
      <c r="E27" s="130"/>
      <c r="F27" s="130">
        <v>633</v>
      </c>
      <c r="G27" s="193" t="s">
        <v>247</v>
      </c>
      <c r="H27" s="570">
        <f>2470+200</f>
        <v>2670</v>
      </c>
      <c r="I27" s="570">
        <f>4297-I26</f>
        <v>2524</v>
      </c>
      <c r="J27" s="966">
        <f t="shared" si="3"/>
        <v>94.531835205992508</v>
      </c>
      <c r="K27" s="128"/>
      <c r="L27" s="399"/>
      <c r="M27" s="399"/>
      <c r="N27" s="870"/>
      <c r="O27" s="128"/>
      <c r="P27" s="572">
        <f t="shared" si="0"/>
        <v>2670</v>
      </c>
      <c r="Q27" s="572">
        <f t="shared" si="1"/>
        <v>2524</v>
      </c>
      <c r="R27" s="986">
        <f t="shared" si="4"/>
        <v>94.531835205992508</v>
      </c>
    </row>
    <row r="28" spans="2:18" ht="12" customHeight="1" x14ac:dyDescent="0.2">
      <c r="B28" s="172">
        <f t="shared" si="5"/>
        <v>23</v>
      </c>
      <c r="C28" s="126"/>
      <c r="D28" s="126"/>
      <c r="E28" s="130"/>
      <c r="F28" s="130">
        <v>637</v>
      </c>
      <c r="G28" s="193" t="s">
        <v>248</v>
      </c>
      <c r="H28" s="570">
        <f>7300-100-100</f>
        <v>7100</v>
      </c>
      <c r="I28" s="570">
        <v>6442</v>
      </c>
      <c r="J28" s="966">
        <f t="shared" si="3"/>
        <v>90.732394366197184</v>
      </c>
      <c r="K28" s="128"/>
      <c r="L28" s="399"/>
      <c r="M28" s="399"/>
      <c r="N28" s="870"/>
      <c r="O28" s="128"/>
      <c r="P28" s="572">
        <f t="shared" si="0"/>
        <v>7100</v>
      </c>
      <c r="Q28" s="572">
        <f t="shared" si="1"/>
        <v>6442</v>
      </c>
      <c r="R28" s="986">
        <f t="shared" si="4"/>
        <v>90.732394366197184</v>
      </c>
    </row>
    <row r="29" spans="2:18" ht="12" customHeight="1" x14ac:dyDescent="0.2">
      <c r="B29" s="172">
        <f t="shared" si="5"/>
        <v>24</v>
      </c>
      <c r="C29" s="126"/>
      <c r="D29" s="568"/>
      <c r="E29" s="160"/>
      <c r="F29" s="212">
        <v>642</v>
      </c>
      <c r="G29" s="201" t="s">
        <v>606</v>
      </c>
      <c r="H29" s="387">
        <f>200+100</f>
        <v>300</v>
      </c>
      <c r="I29" s="387">
        <v>295</v>
      </c>
      <c r="J29" s="965">
        <f t="shared" si="3"/>
        <v>98.333333333333329</v>
      </c>
      <c r="K29" s="145"/>
      <c r="L29" s="492"/>
      <c r="M29" s="492"/>
      <c r="N29" s="1006"/>
      <c r="O29" s="145"/>
      <c r="P29" s="524">
        <f t="shared" ref="P29:P50" si="8">H29+L29</f>
        <v>300</v>
      </c>
      <c r="Q29" s="524">
        <f t="shared" si="1"/>
        <v>295</v>
      </c>
      <c r="R29" s="1009">
        <f t="shared" si="4"/>
        <v>98.333333333333329</v>
      </c>
    </row>
    <row r="30" spans="2:18" ht="15" customHeight="1" x14ac:dyDescent="0.25">
      <c r="B30" s="172">
        <f t="shared" si="5"/>
        <v>25</v>
      </c>
      <c r="C30" s="23">
        <v>4</v>
      </c>
      <c r="D30" s="123" t="s">
        <v>104</v>
      </c>
      <c r="E30" s="24"/>
      <c r="F30" s="24"/>
      <c r="G30" s="192"/>
      <c r="H30" s="413">
        <f>H31</f>
        <v>38300</v>
      </c>
      <c r="I30" s="413">
        <f t="shared" ref="I30" si="9">I31</f>
        <v>33507</v>
      </c>
      <c r="J30" s="972">
        <f t="shared" si="3"/>
        <v>87.485639686684067</v>
      </c>
      <c r="K30" s="86"/>
      <c r="L30" s="817">
        <v>0</v>
      </c>
      <c r="M30" s="817">
        <v>0</v>
      </c>
      <c r="N30" s="975"/>
      <c r="O30" s="86"/>
      <c r="P30" s="372">
        <f t="shared" si="8"/>
        <v>38300</v>
      </c>
      <c r="Q30" s="372">
        <f t="shared" si="1"/>
        <v>33507</v>
      </c>
      <c r="R30" s="981">
        <f t="shared" si="4"/>
        <v>87.485639686684067</v>
      </c>
    </row>
    <row r="31" spans="2:18" ht="12" customHeight="1" x14ac:dyDescent="0.2">
      <c r="B31" s="172">
        <f t="shared" si="5"/>
        <v>26</v>
      </c>
      <c r="C31" s="131"/>
      <c r="D31" s="131"/>
      <c r="E31" s="227" t="s">
        <v>241</v>
      </c>
      <c r="F31" s="227"/>
      <c r="G31" s="226" t="s">
        <v>445</v>
      </c>
      <c r="H31" s="386">
        <f>H32+H33+H34+H39</f>
        <v>38300</v>
      </c>
      <c r="I31" s="386">
        <f t="shared" ref="I31" si="10">I32+I33+I34+I39</f>
        <v>33507</v>
      </c>
      <c r="J31" s="965">
        <f t="shared" si="3"/>
        <v>87.485639686684067</v>
      </c>
      <c r="K31" s="128"/>
      <c r="L31" s="399"/>
      <c r="M31" s="399"/>
      <c r="N31" s="870"/>
      <c r="O31" s="128"/>
      <c r="P31" s="150">
        <f t="shared" si="8"/>
        <v>38300</v>
      </c>
      <c r="Q31" s="150">
        <f t="shared" si="1"/>
        <v>33507</v>
      </c>
      <c r="R31" s="1001">
        <f t="shared" si="4"/>
        <v>87.485639686684067</v>
      </c>
    </row>
    <row r="32" spans="2:18" ht="12" customHeight="1" x14ac:dyDescent="0.2">
      <c r="B32" s="172">
        <f t="shared" si="5"/>
        <v>27</v>
      </c>
      <c r="C32" s="126"/>
      <c r="D32" s="126"/>
      <c r="E32" s="130"/>
      <c r="F32" s="149">
        <v>610</v>
      </c>
      <c r="G32" s="201" t="s">
        <v>257</v>
      </c>
      <c r="H32" s="387">
        <v>18400</v>
      </c>
      <c r="I32" s="387">
        <v>18366</v>
      </c>
      <c r="J32" s="965">
        <f t="shared" si="3"/>
        <v>99.815217391304344</v>
      </c>
      <c r="K32" s="128"/>
      <c r="L32" s="399"/>
      <c r="M32" s="399"/>
      <c r="N32" s="870"/>
      <c r="O32" s="128"/>
      <c r="P32" s="150">
        <f t="shared" si="8"/>
        <v>18400</v>
      </c>
      <c r="Q32" s="150">
        <f t="shared" si="1"/>
        <v>18366</v>
      </c>
      <c r="R32" s="1001">
        <f t="shared" si="4"/>
        <v>99.815217391304344</v>
      </c>
    </row>
    <row r="33" spans="2:18" ht="12" customHeight="1" x14ac:dyDescent="0.2">
      <c r="B33" s="172">
        <f t="shared" si="5"/>
        <v>28</v>
      </c>
      <c r="C33" s="126"/>
      <c r="D33" s="126"/>
      <c r="E33" s="130"/>
      <c r="F33" s="149">
        <v>620</v>
      </c>
      <c r="G33" s="201" t="s">
        <v>259</v>
      </c>
      <c r="H33" s="387">
        <v>6465</v>
      </c>
      <c r="I33" s="387">
        <v>4836</v>
      </c>
      <c r="J33" s="965">
        <f t="shared" si="3"/>
        <v>74.802784222737813</v>
      </c>
      <c r="K33" s="128"/>
      <c r="L33" s="399"/>
      <c r="M33" s="399"/>
      <c r="N33" s="870"/>
      <c r="O33" s="128"/>
      <c r="P33" s="150">
        <f t="shared" si="8"/>
        <v>6465</v>
      </c>
      <c r="Q33" s="150">
        <f t="shared" si="1"/>
        <v>4836</v>
      </c>
      <c r="R33" s="1001">
        <f t="shared" si="4"/>
        <v>74.802784222737813</v>
      </c>
    </row>
    <row r="34" spans="2:18" ht="12" customHeight="1" x14ac:dyDescent="0.2">
      <c r="B34" s="172">
        <f t="shared" si="5"/>
        <v>29</v>
      </c>
      <c r="C34" s="126"/>
      <c r="D34" s="126"/>
      <c r="E34" s="130"/>
      <c r="F34" s="149">
        <v>630</v>
      </c>
      <c r="G34" s="201" t="s">
        <v>446</v>
      </c>
      <c r="H34" s="387">
        <f>SUM(H35:H38)</f>
        <v>13385</v>
      </c>
      <c r="I34" s="387">
        <f t="shared" ref="I34" si="11">SUM(I35:I38)</f>
        <v>10305</v>
      </c>
      <c r="J34" s="965">
        <f t="shared" si="3"/>
        <v>76.989166977960394</v>
      </c>
      <c r="K34" s="128"/>
      <c r="L34" s="570"/>
      <c r="M34" s="570"/>
      <c r="N34" s="870"/>
      <c r="O34" s="128"/>
      <c r="P34" s="150">
        <f t="shared" si="8"/>
        <v>13385</v>
      </c>
      <c r="Q34" s="150">
        <f t="shared" si="1"/>
        <v>10305</v>
      </c>
      <c r="R34" s="1001">
        <f t="shared" si="4"/>
        <v>76.989166977960394</v>
      </c>
    </row>
    <row r="35" spans="2:18" ht="12" customHeight="1" x14ac:dyDescent="0.2">
      <c r="B35" s="172">
        <f t="shared" si="5"/>
        <v>30</v>
      </c>
      <c r="C35" s="126"/>
      <c r="D35" s="126"/>
      <c r="E35" s="130"/>
      <c r="F35" s="130">
        <v>632</v>
      </c>
      <c r="G35" s="193" t="s">
        <v>246</v>
      </c>
      <c r="H35" s="570">
        <v>7940</v>
      </c>
      <c r="I35" s="570">
        <v>5709</v>
      </c>
      <c r="J35" s="966">
        <f t="shared" si="3"/>
        <v>71.901763224181366</v>
      </c>
      <c r="K35" s="128"/>
      <c r="L35" s="570"/>
      <c r="M35" s="570"/>
      <c r="N35" s="870"/>
      <c r="O35" s="128"/>
      <c r="P35" s="572">
        <f t="shared" si="8"/>
        <v>7940</v>
      </c>
      <c r="Q35" s="572">
        <f t="shared" si="1"/>
        <v>5709</v>
      </c>
      <c r="R35" s="986">
        <f t="shared" si="4"/>
        <v>71.901763224181366</v>
      </c>
    </row>
    <row r="36" spans="2:18" ht="12" customHeight="1" x14ac:dyDescent="0.2">
      <c r="B36" s="172">
        <f t="shared" si="5"/>
        <v>31</v>
      </c>
      <c r="C36" s="126"/>
      <c r="D36" s="126"/>
      <c r="E36" s="130"/>
      <c r="F36" s="130">
        <v>633</v>
      </c>
      <c r="G36" s="193" t="s">
        <v>247</v>
      </c>
      <c r="H36" s="570">
        <v>1725</v>
      </c>
      <c r="I36" s="570">
        <v>1707</v>
      </c>
      <c r="J36" s="966">
        <f t="shared" si="3"/>
        <v>98.956521739130437</v>
      </c>
      <c r="K36" s="128"/>
      <c r="L36" s="570"/>
      <c r="M36" s="570"/>
      <c r="N36" s="870"/>
      <c r="O36" s="128"/>
      <c r="P36" s="572">
        <f t="shared" si="8"/>
        <v>1725</v>
      </c>
      <c r="Q36" s="572">
        <f t="shared" si="1"/>
        <v>1707</v>
      </c>
      <c r="R36" s="986">
        <f t="shared" si="4"/>
        <v>98.956521739130437</v>
      </c>
    </row>
    <row r="37" spans="2:18" ht="12" customHeight="1" x14ac:dyDescent="0.2">
      <c r="B37" s="172">
        <f t="shared" si="5"/>
        <v>32</v>
      </c>
      <c r="C37" s="126"/>
      <c r="D37" s="126"/>
      <c r="E37" s="130"/>
      <c r="F37" s="130">
        <v>635</v>
      </c>
      <c r="G37" s="193" t="s">
        <v>261</v>
      </c>
      <c r="H37" s="570">
        <f>200+300</f>
        <v>500</v>
      </c>
      <c r="I37" s="570">
        <v>475</v>
      </c>
      <c r="J37" s="966">
        <f t="shared" si="3"/>
        <v>95</v>
      </c>
      <c r="K37" s="128"/>
      <c r="L37" s="570"/>
      <c r="M37" s="570"/>
      <c r="N37" s="870"/>
      <c r="O37" s="128"/>
      <c r="P37" s="572">
        <f t="shared" si="8"/>
        <v>500</v>
      </c>
      <c r="Q37" s="572">
        <f t="shared" si="1"/>
        <v>475</v>
      </c>
      <c r="R37" s="986">
        <f t="shared" si="4"/>
        <v>95</v>
      </c>
    </row>
    <row r="38" spans="2:18" x14ac:dyDescent="0.2">
      <c r="B38" s="172">
        <f t="shared" si="5"/>
        <v>33</v>
      </c>
      <c r="C38" s="126"/>
      <c r="D38" s="126"/>
      <c r="E38" s="130"/>
      <c r="F38" s="130">
        <v>637</v>
      </c>
      <c r="G38" s="193" t="s">
        <v>248</v>
      </c>
      <c r="H38" s="570">
        <v>3220</v>
      </c>
      <c r="I38" s="570">
        <v>2414</v>
      </c>
      <c r="J38" s="966">
        <f t="shared" si="3"/>
        <v>74.968944099378888</v>
      </c>
      <c r="K38" s="128"/>
      <c r="L38" s="570"/>
      <c r="M38" s="570"/>
      <c r="N38" s="870"/>
      <c r="O38" s="128"/>
      <c r="P38" s="572">
        <f t="shared" si="8"/>
        <v>3220</v>
      </c>
      <c r="Q38" s="572">
        <f t="shared" si="1"/>
        <v>2414</v>
      </c>
      <c r="R38" s="986">
        <f t="shared" si="4"/>
        <v>74.968944099378888</v>
      </c>
    </row>
    <row r="39" spans="2:18" x14ac:dyDescent="0.2">
      <c r="B39" s="172">
        <f t="shared" si="5"/>
        <v>34</v>
      </c>
      <c r="C39" s="126"/>
      <c r="D39" s="568"/>
      <c r="E39" s="568"/>
      <c r="F39" s="154">
        <v>640</v>
      </c>
      <c r="G39" s="201" t="s">
        <v>302</v>
      </c>
      <c r="H39" s="387">
        <v>50</v>
      </c>
      <c r="I39" s="387">
        <v>0</v>
      </c>
      <c r="J39" s="965">
        <f t="shared" si="3"/>
        <v>0</v>
      </c>
      <c r="K39" s="128"/>
      <c r="L39" s="381"/>
      <c r="M39" s="381"/>
      <c r="N39" s="1003"/>
      <c r="O39" s="128"/>
      <c r="P39" s="524">
        <f t="shared" si="8"/>
        <v>50</v>
      </c>
      <c r="Q39" s="524">
        <f t="shared" si="1"/>
        <v>0</v>
      </c>
      <c r="R39" s="1009">
        <f t="shared" si="4"/>
        <v>0</v>
      </c>
    </row>
    <row r="40" spans="2:18" ht="15" customHeight="1" x14ac:dyDescent="0.25">
      <c r="B40" s="172">
        <f t="shared" si="5"/>
        <v>35</v>
      </c>
      <c r="C40" s="23">
        <v>5</v>
      </c>
      <c r="D40" s="123" t="s">
        <v>138</v>
      </c>
      <c r="E40" s="24"/>
      <c r="F40" s="24"/>
      <c r="G40" s="192"/>
      <c r="H40" s="413">
        <f>H41</f>
        <v>28900</v>
      </c>
      <c r="I40" s="413">
        <f t="shared" ref="I40" si="12">I41</f>
        <v>23849</v>
      </c>
      <c r="J40" s="972">
        <f t="shared" si="3"/>
        <v>82.522491349480958</v>
      </c>
      <c r="K40" s="86"/>
      <c r="L40" s="378">
        <f>SUM(L41:L50)</f>
        <v>5000</v>
      </c>
      <c r="M40" s="378">
        <f t="shared" ref="M40" si="13">SUM(M41:M50)</f>
        <v>4830</v>
      </c>
      <c r="N40" s="971">
        <f t="shared" ref="N40:N71" si="14">M40/L40*100</f>
        <v>96.6</v>
      </c>
      <c r="O40" s="86"/>
      <c r="P40" s="372">
        <f t="shared" si="8"/>
        <v>33900</v>
      </c>
      <c r="Q40" s="372">
        <f t="shared" si="1"/>
        <v>28679</v>
      </c>
      <c r="R40" s="981">
        <f t="shared" si="4"/>
        <v>84.598820058997049</v>
      </c>
    </row>
    <row r="41" spans="2:18" ht="12" customHeight="1" x14ac:dyDescent="0.2">
      <c r="B41" s="172">
        <f t="shared" si="5"/>
        <v>36</v>
      </c>
      <c r="C41" s="126"/>
      <c r="D41" s="126"/>
      <c r="E41" s="227" t="s">
        <v>241</v>
      </c>
      <c r="F41" s="227"/>
      <c r="G41" s="228" t="s">
        <v>444</v>
      </c>
      <c r="H41" s="386">
        <f>H42+H43+H44</f>
        <v>28900</v>
      </c>
      <c r="I41" s="386">
        <f t="shared" ref="I41" si="15">I42+I43+I44</f>
        <v>23849</v>
      </c>
      <c r="J41" s="965">
        <f t="shared" si="3"/>
        <v>82.522491349480958</v>
      </c>
      <c r="K41" s="128"/>
      <c r="L41" s="570"/>
      <c r="M41" s="570"/>
      <c r="N41" s="966"/>
      <c r="O41" s="128"/>
      <c r="P41" s="150">
        <f t="shared" si="8"/>
        <v>28900</v>
      </c>
      <c r="Q41" s="150">
        <f t="shared" si="1"/>
        <v>23849</v>
      </c>
      <c r="R41" s="1001">
        <f t="shared" si="4"/>
        <v>82.522491349480958</v>
      </c>
    </row>
    <row r="42" spans="2:18" ht="12" customHeight="1" x14ac:dyDescent="0.2">
      <c r="B42" s="172">
        <f t="shared" si="5"/>
        <v>37</v>
      </c>
      <c r="C42" s="142"/>
      <c r="D42" s="142"/>
      <c r="E42" s="130"/>
      <c r="F42" s="149">
        <v>610</v>
      </c>
      <c r="G42" s="201" t="s">
        <v>257</v>
      </c>
      <c r="H42" s="387">
        <v>6600</v>
      </c>
      <c r="I42" s="387">
        <v>6598</v>
      </c>
      <c r="J42" s="965">
        <f t="shared" si="3"/>
        <v>99.969696969696969</v>
      </c>
      <c r="K42" s="145"/>
      <c r="L42" s="387"/>
      <c r="M42" s="387"/>
      <c r="N42" s="965"/>
      <c r="O42" s="145"/>
      <c r="P42" s="150">
        <f t="shared" si="8"/>
        <v>6600</v>
      </c>
      <c r="Q42" s="150">
        <f t="shared" si="1"/>
        <v>6598</v>
      </c>
      <c r="R42" s="1001">
        <f t="shared" si="4"/>
        <v>99.969696969696969</v>
      </c>
    </row>
    <row r="43" spans="2:18" ht="12" customHeight="1" x14ac:dyDescent="0.2">
      <c r="B43" s="172">
        <f t="shared" si="5"/>
        <v>38</v>
      </c>
      <c r="C43" s="126"/>
      <c r="D43" s="126"/>
      <c r="E43" s="130"/>
      <c r="F43" s="149">
        <v>620</v>
      </c>
      <c r="G43" s="201" t="s">
        <v>259</v>
      </c>
      <c r="H43" s="387">
        <v>2950</v>
      </c>
      <c r="I43" s="387">
        <v>2866</v>
      </c>
      <c r="J43" s="965">
        <f t="shared" si="3"/>
        <v>97.152542372881356</v>
      </c>
      <c r="K43" s="128"/>
      <c r="L43" s="570"/>
      <c r="M43" s="570"/>
      <c r="N43" s="966"/>
      <c r="O43" s="128"/>
      <c r="P43" s="150">
        <f t="shared" si="8"/>
        <v>2950</v>
      </c>
      <c r="Q43" s="150">
        <f t="shared" si="1"/>
        <v>2866</v>
      </c>
      <c r="R43" s="1001">
        <f t="shared" si="4"/>
        <v>97.152542372881356</v>
      </c>
    </row>
    <row r="44" spans="2:18" ht="12" customHeight="1" x14ac:dyDescent="0.2">
      <c r="B44" s="172">
        <f t="shared" si="5"/>
        <v>39</v>
      </c>
      <c r="C44" s="126"/>
      <c r="D44" s="126"/>
      <c r="E44" s="568"/>
      <c r="F44" s="212">
        <v>630</v>
      </c>
      <c r="G44" s="201" t="s">
        <v>446</v>
      </c>
      <c r="H44" s="387">
        <f>SUM(H45:H49)</f>
        <v>19350</v>
      </c>
      <c r="I44" s="387">
        <f t="shared" ref="I44" si="16">SUM(I45:I49)</f>
        <v>14385</v>
      </c>
      <c r="J44" s="965">
        <f t="shared" si="3"/>
        <v>74.341085271317837</v>
      </c>
      <c r="K44" s="128"/>
      <c r="L44" s="570"/>
      <c r="M44" s="570"/>
      <c r="N44" s="966"/>
      <c r="O44" s="128"/>
      <c r="P44" s="150">
        <f t="shared" si="8"/>
        <v>19350</v>
      </c>
      <c r="Q44" s="150">
        <f t="shared" si="1"/>
        <v>14385</v>
      </c>
      <c r="R44" s="1001">
        <f t="shared" si="4"/>
        <v>74.341085271317837</v>
      </c>
    </row>
    <row r="45" spans="2:18" ht="12" customHeight="1" x14ac:dyDescent="0.2">
      <c r="B45" s="172">
        <f t="shared" si="5"/>
        <v>40</v>
      </c>
      <c r="C45" s="126"/>
      <c r="D45" s="126"/>
      <c r="E45" s="130"/>
      <c r="F45" s="130">
        <v>632</v>
      </c>
      <c r="G45" s="193" t="s">
        <v>246</v>
      </c>
      <c r="H45" s="381">
        <v>5900</v>
      </c>
      <c r="I45" s="381">
        <v>3626</v>
      </c>
      <c r="J45" s="978">
        <f t="shared" si="3"/>
        <v>61.457627118644062</v>
      </c>
      <c r="K45" s="128"/>
      <c r="L45" s="570"/>
      <c r="M45" s="570"/>
      <c r="N45" s="966"/>
      <c r="O45" s="128"/>
      <c r="P45" s="572">
        <f t="shared" si="8"/>
        <v>5900</v>
      </c>
      <c r="Q45" s="572">
        <f t="shared" si="1"/>
        <v>3626</v>
      </c>
      <c r="R45" s="986">
        <f t="shared" si="4"/>
        <v>61.457627118644062</v>
      </c>
    </row>
    <row r="46" spans="2:18" ht="12" customHeight="1" x14ac:dyDescent="0.2">
      <c r="B46" s="172">
        <f t="shared" si="5"/>
        <v>41</v>
      </c>
      <c r="C46" s="126"/>
      <c r="D46" s="126"/>
      <c r="E46" s="130"/>
      <c r="F46" s="130">
        <v>633</v>
      </c>
      <c r="G46" s="193" t="s">
        <v>247</v>
      </c>
      <c r="H46" s="570">
        <f>500+700</f>
        <v>1200</v>
      </c>
      <c r="I46" s="570">
        <v>770</v>
      </c>
      <c r="J46" s="966">
        <f t="shared" si="3"/>
        <v>64.166666666666671</v>
      </c>
      <c r="K46" s="128"/>
      <c r="L46" s="570"/>
      <c r="M46" s="570"/>
      <c r="N46" s="966"/>
      <c r="O46" s="128"/>
      <c r="P46" s="572">
        <f t="shared" si="8"/>
        <v>1200</v>
      </c>
      <c r="Q46" s="572">
        <f t="shared" si="1"/>
        <v>770</v>
      </c>
      <c r="R46" s="986">
        <f t="shared" si="4"/>
        <v>64.166666666666671</v>
      </c>
    </row>
    <row r="47" spans="2:18" ht="12" customHeight="1" x14ac:dyDescent="0.2">
      <c r="B47" s="172">
        <f t="shared" si="5"/>
        <v>42</v>
      </c>
      <c r="C47" s="126"/>
      <c r="D47" s="126"/>
      <c r="E47" s="130"/>
      <c r="F47" s="130">
        <v>636</v>
      </c>
      <c r="G47" s="193" t="s">
        <v>347</v>
      </c>
      <c r="H47" s="570">
        <v>1650</v>
      </c>
      <c r="I47" s="570">
        <v>1198</v>
      </c>
      <c r="J47" s="966">
        <f t="shared" si="3"/>
        <v>72.606060606060609</v>
      </c>
      <c r="K47" s="128"/>
      <c r="L47" s="570"/>
      <c r="M47" s="570"/>
      <c r="N47" s="966"/>
      <c r="O47" s="128"/>
      <c r="P47" s="572">
        <f t="shared" si="8"/>
        <v>1650</v>
      </c>
      <c r="Q47" s="572">
        <f t="shared" si="1"/>
        <v>1198</v>
      </c>
      <c r="R47" s="986">
        <f t="shared" si="4"/>
        <v>72.606060606060609</v>
      </c>
    </row>
    <row r="48" spans="2:18" ht="12" customHeight="1" x14ac:dyDescent="0.2">
      <c r="B48" s="172">
        <f t="shared" si="5"/>
        <v>43</v>
      </c>
      <c r="C48" s="126"/>
      <c r="D48" s="126"/>
      <c r="E48" s="130"/>
      <c r="F48" s="130">
        <v>635</v>
      </c>
      <c r="G48" s="193" t="s">
        <v>261</v>
      </c>
      <c r="H48" s="570">
        <f>50+200</f>
        <v>250</v>
      </c>
      <c r="I48" s="570">
        <v>157</v>
      </c>
      <c r="J48" s="966">
        <f t="shared" si="3"/>
        <v>62.8</v>
      </c>
      <c r="K48" s="128"/>
      <c r="L48" s="570"/>
      <c r="M48" s="570"/>
      <c r="N48" s="966"/>
      <c r="O48" s="128"/>
      <c r="P48" s="572">
        <f t="shared" si="8"/>
        <v>250</v>
      </c>
      <c r="Q48" s="572">
        <f t="shared" si="1"/>
        <v>157</v>
      </c>
      <c r="R48" s="986">
        <f t="shared" si="4"/>
        <v>62.8</v>
      </c>
    </row>
    <row r="49" spans="1:18" ht="12" customHeight="1" x14ac:dyDescent="0.2">
      <c r="B49" s="172">
        <f t="shared" si="5"/>
        <v>44</v>
      </c>
      <c r="C49" s="126"/>
      <c r="D49" s="126"/>
      <c r="E49" s="130"/>
      <c r="F49" s="130">
        <v>637</v>
      </c>
      <c r="G49" s="193" t="s">
        <v>248</v>
      </c>
      <c r="H49" s="570">
        <v>10350</v>
      </c>
      <c r="I49" s="570">
        <v>8634</v>
      </c>
      <c r="J49" s="966">
        <f t="shared" si="3"/>
        <v>83.420289855072454</v>
      </c>
      <c r="K49" s="128"/>
      <c r="L49" s="570"/>
      <c r="M49" s="570"/>
      <c r="N49" s="966"/>
      <c r="O49" s="128"/>
      <c r="P49" s="572">
        <f t="shared" si="8"/>
        <v>10350</v>
      </c>
      <c r="Q49" s="572">
        <f t="shared" si="1"/>
        <v>8634</v>
      </c>
      <c r="R49" s="986">
        <f t="shared" si="4"/>
        <v>83.420289855072454</v>
      </c>
    </row>
    <row r="50" spans="1:18" ht="12" customHeight="1" x14ac:dyDescent="0.2">
      <c r="B50" s="172">
        <f t="shared" si="5"/>
        <v>45</v>
      </c>
      <c r="C50" s="126"/>
      <c r="D50" s="126"/>
      <c r="E50" s="130"/>
      <c r="F50" s="130">
        <v>718</v>
      </c>
      <c r="G50" s="193" t="s">
        <v>641</v>
      </c>
      <c r="H50" s="570"/>
      <c r="I50" s="570"/>
      <c r="J50" s="966"/>
      <c r="K50" s="128"/>
      <c r="L50" s="570">
        <v>5000</v>
      </c>
      <c r="M50" s="570">
        <v>4830</v>
      </c>
      <c r="N50" s="966">
        <f t="shared" si="14"/>
        <v>96.6</v>
      </c>
      <c r="O50" s="128"/>
      <c r="P50" s="572">
        <f t="shared" si="8"/>
        <v>5000</v>
      </c>
      <c r="Q50" s="572">
        <f t="shared" si="1"/>
        <v>4830</v>
      </c>
      <c r="R50" s="986">
        <f t="shared" si="4"/>
        <v>96.6</v>
      </c>
    </row>
    <row r="51" spans="1:18" ht="15" customHeight="1" x14ac:dyDescent="0.25">
      <c r="B51" s="172">
        <f t="shared" si="5"/>
        <v>46</v>
      </c>
      <c r="C51" s="23">
        <v>6</v>
      </c>
      <c r="D51" s="123" t="s">
        <v>163</v>
      </c>
      <c r="E51" s="24"/>
      <c r="F51" s="24"/>
      <c r="G51" s="192"/>
      <c r="H51" s="413">
        <f>SUM(H52:H60)</f>
        <v>125674</v>
      </c>
      <c r="I51" s="413">
        <f t="shared" ref="I51" si="17">SUM(I52:I60)</f>
        <v>107993</v>
      </c>
      <c r="J51" s="972">
        <f t="shared" si="3"/>
        <v>85.931059725957638</v>
      </c>
      <c r="K51" s="86"/>
      <c r="L51" s="378">
        <f>SUM(L52:L61)</f>
        <v>106635</v>
      </c>
      <c r="M51" s="378">
        <f t="shared" ref="M51" si="18">SUM(M52:M61)</f>
        <v>83243</v>
      </c>
      <c r="N51" s="971">
        <f t="shared" si="14"/>
        <v>78.063487597880624</v>
      </c>
      <c r="O51" s="86"/>
      <c r="P51" s="372">
        <f t="shared" ref="P51:P55" si="19">H51+L51</f>
        <v>232309</v>
      </c>
      <c r="Q51" s="372">
        <f t="shared" si="1"/>
        <v>191236</v>
      </c>
      <c r="R51" s="981">
        <f t="shared" si="4"/>
        <v>82.319669061465547</v>
      </c>
    </row>
    <row r="52" spans="1:18" ht="12" customHeight="1" x14ac:dyDescent="0.2">
      <c r="B52" s="172">
        <f t="shared" si="5"/>
        <v>47</v>
      </c>
      <c r="C52" s="126"/>
      <c r="D52" s="126"/>
      <c r="E52" s="568" t="s">
        <v>277</v>
      </c>
      <c r="F52" s="130">
        <v>632</v>
      </c>
      <c r="G52" s="193" t="s">
        <v>489</v>
      </c>
      <c r="H52" s="570">
        <v>27000</v>
      </c>
      <c r="I52" s="570">
        <v>19745</v>
      </c>
      <c r="J52" s="966">
        <f t="shared" si="3"/>
        <v>73.129629629629633</v>
      </c>
      <c r="K52" s="128"/>
      <c r="L52" s="570"/>
      <c r="M52" s="570"/>
      <c r="N52" s="966"/>
      <c r="O52" s="128"/>
      <c r="P52" s="572">
        <f t="shared" si="19"/>
        <v>27000</v>
      </c>
      <c r="Q52" s="572">
        <f t="shared" si="1"/>
        <v>19745</v>
      </c>
      <c r="R52" s="986">
        <f t="shared" si="4"/>
        <v>73.129629629629633</v>
      </c>
    </row>
    <row r="53" spans="1:18" ht="12" customHeight="1" x14ac:dyDescent="0.2">
      <c r="B53" s="172">
        <f t="shared" si="5"/>
        <v>48</v>
      </c>
      <c r="C53" s="126"/>
      <c r="D53" s="126"/>
      <c r="E53" s="568" t="s">
        <v>277</v>
      </c>
      <c r="F53" s="130">
        <v>637</v>
      </c>
      <c r="G53" s="193" t="s">
        <v>490</v>
      </c>
      <c r="H53" s="570">
        <v>91800</v>
      </c>
      <c r="I53" s="570">
        <f>88248-I54-I55</f>
        <v>81387</v>
      </c>
      <c r="J53" s="966">
        <f t="shared" si="3"/>
        <v>88.656862745098039</v>
      </c>
      <c r="K53" s="128"/>
      <c r="L53" s="570"/>
      <c r="M53" s="570"/>
      <c r="N53" s="966"/>
      <c r="O53" s="128"/>
      <c r="P53" s="572">
        <f t="shared" si="19"/>
        <v>91800</v>
      </c>
      <c r="Q53" s="572">
        <f t="shared" si="1"/>
        <v>81387</v>
      </c>
      <c r="R53" s="986">
        <f t="shared" si="4"/>
        <v>88.656862745098039</v>
      </c>
    </row>
    <row r="54" spans="1:18" ht="12" customHeight="1" x14ac:dyDescent="0.2">
      <c r="B54" s="172">
        <f t="shared" si="5"/>
        <v>49</v>
      </c>
      <c r="C54" s="126"/>
      <c r="D54" s="126"/>
      <c r="E54" s="568" t="s">
        <v>277</v>
      </c>
      <c r="F54" s="130">
        <v>637</v>
      </c>
      <c r="G54" s="193" t="s">
        <v>642</v>
      </c>
      <c r="H54" s="570">
        <v>6694</v>
      </c>
      <c r="I54" s="570">
        <v>6694</v>
      </c>
      <c r="J54" s="966">
        <f t="shared" si="3"/>
        <v>100</v>
      </c>
      <c r="K54" s="128"/>
      <c r="L54" s="570"/>
      <c r="M54" s="570"/>
      <c r="N54" s="966"/>
      <c r="O54" s="128"/>
      <c r="P54" s="572">
        <f t="shared" si="19"/>
        <v>6694</v>
      </c>
      <c r="Q54" s="572">
        <f t="shared" si="1"/>
        <v>6694</v>
      </c>
      <c r="R54" s="986">
        <f t="shared" si="4"/>
        <v>100</v>
      </c>
    </row>
    <row r="55" spans="1:18" ht="12" customHeight="1" x14ac:dyDescent="0.2">
      <c r="B55" s="172">
        <f t="shared" si="5"/>
        <v>50</v>
      </c>
      <c r="C55" s="126"/>
      <c r="D55" s="126"/>
      <c r="E55" s="568" t="s">
        <v>277</v>
      </c>
      <c r="F55" s="130">
        <v>637</v>
      </c>
      <c r="G55" s="193" t="s">
        <v>304</v>
      </c>
      <c r="H55" s="570">
        <v>180</v>
      </c>
      <c r="I55" s="570">
        <v>167</v>
      </c>
      <c r="J55" s="966">
        <f t="shared" si="3"/>
        <v>92.777777777777786</v>
      </c>
      <c r="K55" s="128"/>
      <c r="L55" s="570"/>
      <c r="M55" s="570"/>
      <c r="N55" s="966"/>
      <c r="O55" s="128"/>
      <c r="P55" s="572">
        <f t="shared" si="19"/>
        <v>180</v>
      </c>
      <c r="Q55" s="572">
        <f t="shared" si="1"/>
        <v>167</v>
      </c>
      <c r="R55" s="986">
        <f t="shared" si="4"/>
        <v>92.777777777777786</v>
      </c>
    </row>
    <row r="56" spans="1:18" x14ac:dyDescent="0.2">
      <c r="B56" s="172">
        <f t="shared" si="5"/>
        <v>51</v>
      </c>
      <c r="C56" s="126"/>
      <c r="D56" s="160"/>
      <c r="E56" s="568" t="s">
        <v>277</v>
      </c>
      <c r="F56" s="568">
        <v>716</v>
      </c>
      <c r="G56" s="193" t="s">
        <v>694</v>
      </c>
      <c r="H56" s="570"/>
      <c r="I56" s="570"/>
      <c r="J56" s="966"/>
      <c r="K56" s="128"/>
      <c r="L56" s="381">
        <v>3500</v>
      </c>
      <c r="M56" s="381">
        <v>3420</v>
      </c>
      <c r="N56" s="978">
        <f t="shared" si="14"/>
        <v>97.714285714285708</v>
      </c>
      <c r="O56" s="128"/>
      <c r="P56" s="161">
        <f t="shared" ref="P56:P71" si="20">H56+L56</f>
        <v>3500</v>
      </c>
      <c r="Q56" s="161">
        <f t="shared" si="1"/>
        <v>3420</v>
      </c>
      <c r="R56" s="1000">
        <f t="shared" si="4"/>
        <v>97.714285714285708</v>
      </c>
    </row>
    <row r="57" spans="1:18" s="485" customFormat="1" ht="24" x14ac:dyDescent="0.2">
      <c r="A57" s="482"/>
      <c r="B57" s="714">
        <f t="shared" si="5"/>
        <v>52</v>
      </c>
      <c r="C57" s="483"/>
      <c r="D57" s="494"/>
      <c r="E57" s="488" t="s">
        <v>277</v>
      </c>
      <c r="F57" s="488">
        <v>717</v>
      </c>
      <c r="G57" s="541" t="s">
        <v>842</v>
      </c>
      <c r="H57" s="576"/>
      <c r="I57" s="576"/>
      <c r="J57" s="967"/>
      <c r="K57" s="475"/>
      <c r="L57" s="495">
        <v>46500</v>
      </c>
      <c r="M57" s="495">
        <v>46500</v>
      </c>
      <c r="N57" s="977">
        <f t="shared" si="14"/>
        <v>100</v>
      </c>
      <c r="O57" s="475"/>
      <c r="P57" s="820">
        <f t="shared" si="20"/>
        <v>46500</v>
      </c>
      <c r="Q57" s="820">
        <f t="shared" si="1"/>
        <v>46500</v>
      </c>
      <c r="R57" s="1010">
        <f t="shared" si="4"/>
        <v>100</v>
      </c>
    </row>
    <row r="58" spans="1:18" x14ac:dyDescent="0.2">
      <c r="B58" s="172">
        <f t="shared" si="5"/>
        <v>53</v>
      </c>
      <c r="C58" s="126"/>
      <c r="D58" s="160"/>
      <c r="E58" s="568" t="s">
        <v>277</v>
      </c>
      <c r="F58" s="762">
        <v>716</v>
      </c>
      <c r="G58" s="749" t="s">
        <v>815</v>
      </c>
      <c r="H58" s="570"/>
      <c r="I58" s="570"/>
      <c r="J58" s="966"/>
      <c r="K58" s="128"/>
      <c r="L58" s="381">
        <f>2000+988</f>
        <v>2988</v>
      </c>
      <c r="M58" s="381">
        <v>2988</v>
      </c>
      <c r="N58" s="978">
        <f t="shared" si="14"/>
        <v>100</v>
      </c>
      <c r="O58" s="128"/>
      <c r="P58" s="161">
        <f t="shared" ref="P58" si="21">H58+L58</f>
        <v>2988</v>
      </c>
      <c r="Q58" s="161">
        <f t="shared" si="1"/>
        <v>2988</v>
      </c>
      <c r="R58" s="1000">
        <f t="shared" si="4"/>
        <v>100</v>
      </c>
    </row>
    <row r="59" spans="1:18" x14ac:dyDescent="0.2">
      <c r="B59" s="172">
        <f t="shared" si="5"/>
        <v>54</v>
      </c>
      <c r="C59" s="126"/>
      <c r="D59" s="160"/>
      <c r="E59" s="568" t="s">
        <v>277</v>
      </c>
      <c r="F59" s="568">
        <v>717</v>
      </c>
      <c r="G59" s="193" t="s">
        <v>764</v>
      </c>
      <c r="H59" s="570"/>
      <c r="I59" s="570"/>
      <c r="J59" s="966"/>
      <c r="K59" s="128"/>
      <c r="L59" s="381">
        <f>45000-5631+266</f>
        <v>39635</v>
      </c>
      <c r="M59" s="381">
        <v>20635</v>
      </c>
      <c r="N59" s="978">
        <f t="shared" si="14"/>
        <v>52.062570960010092</v>
      </c>
      <c r="O59" s="128"/>
      <c r="P59" s="161">
        <f t="shared" ref="P59" si="22">H59+L59</f>
        <v>39635</v>
      </c>
      <c r="Q59" s="161">
        <f t="shared" si="1"/>
        <v>20635</v>
      </c>
      <c r="R59" s="1000">
        <f t="shared" si="4"/>
        <v>52.062570960010092</v>
      </c>
    </row>
    <row r="60" spans="1:18" x14ac:dyDescent="0.2">
      <c r="B60" s="172">
        <f t="shared" si="5"/>
        <v>55</v>
      </c>
      <c r="C60" s="126"/>
      <c r="D60" s="160"/>
      <c r="E60" s="568" t="s">
        <v>277</v>
      </c>
      <c r="F60" s="762">
        <v>717</v>
      </c>
      <c r="G60" s="749" t="s">
        <v>765</v>
      </c>
      <c r="H60" s="750"/>
      <c r="I60" s="750"/>
      <c r="J60" s="966"/>
      <c r="K60" s="751"/>
      <c r="L60" s="752">
        <f>5000-988</f>
        <v>4012</v>
      </c>
      <c r="M60" s="752">
        <v>300</v>
      </c>
      <c r="N60" s="978">
        <f t="shared" si="14"/>
        <v>7.4775672981056838</v>
      </c>
      <c r="O60" s="751"/>
      <c r="P60" s="753">
        <f t="shared" ref="P60:P61" si="23">H60+L60</f>
        <v>4012</v>
      </c>
      <c r="Q60" s="753">
        <f t="shared" si="1"/>
        <v>300</v>
      </c>
      <c r="R60" s="1000">
        <f t="shared" si="4"/>
        <v>7.4775672981056838</v>
      </c>
    </row>
    <row r="61" spans="1:18" x14ac:dyDescent="0.2">
      <c r="B61" s="172">
        <f t="shared" si="5"/>
        <v>56</v>
      </c>
      <c r="C61" s="126"/>
      <c r="D61" s="160"/>
      <c r="E61" s="568" t="s">
        <v>277</v>
      </c>
      <c r="F61" s="735">
        <v>717</v>
      </c>
      <c r="G61" s="757" t="s">
        <v>805</v>
      </c>
      <c r="H61" s="758"/>
      <c r="I61" s="758"/>
      <c r="J61" s="966"/>
      <c r="K61" s="759"/>
      <c r="L61" s="760">
        <v>10000</v>
      </c>
      <c r="M61" s="760">
        <v>9400</v>
      </c>
      <c r="N61" s="978">
        <f t="shared" si="14"/>
        <v>94</v>
      </c>
      <c r="O61" s="759"/>
      <c r="P61" s="761">
        <f t="shared" si="23"/>
        <v>10000</v>
      </c>
      <c r="Q61" s="761">
        <f t="shared" si="1"/>
        <v>9400</v>
      </c>
      <c r="R61" s="1000">
        <f t="shared" si="4"/>
        <v>94</v>
      </c>
    </row>
    <row r="62" spans="1:18" ht="15" customHeight="1" x14ac:dyDescent="0.25">
      <c r="B62" s="172">
        <f t="shared" si="5"/>
        <v>57</v>
      </c>
      <c r="C62" s="23">
        <v>7</v>
      </c>
      <c r="D62" s="123" t="s">
        <v>562</v>
      </c>
      <c r="E62" s="24"/>
      <c r="F62" s="24"/>
      <c r="G62" s="192"/>
      <c r="H62" s="413">
        <f>H63</f>
        <v>3075</v>
      </c>
      <c r="I62" s="413">
        <f t="shared" ref="I62" si="24">I63</f>
        <v>2646</v>
      </c>
      <c r="J62" s="972">
        <f t="shared" si="3"/>
        <v>86.048780487804876</v>
      </c>
      <c r="K62" s="86"/>
      <c r="L62" s="817">
        <f>L71</f>
        <v>15000</v>
      </c>
      <c r="M62" s="817">
        <f t="shared" ref="M62" si="25">M71</f>
        <v>14614</v>
      </c>
      <c r="N62" s="971">
        <f t="shared" si="14"/>
        <v>97.426666666666662</v>
      </c>
      <c r="O62" s="86"/>
      <c r="P62" s="372">
        <f t="shared" si="20"/>
        <v>18075</v>
      </c>
      <c r="Q62" s="372">
        <f t="shared" si="1"/>
        <v>17260</v>
      </c>
      <c r="R62" s="981">
        <f t="shared" si="4"/>
        <v>95.491009681881053</v>
      </c>
    </row>
    <row r="63" spans="1:18" ht="12" customHeight="1" x14ac:dyDescent="0.2">
      <c r="B63" s="172">
        <f t="shared" si="5"/>
        <v>58</v>
      </c>
      <c r="C63" s="126"/>
      <c r="D63" s="126"/>
      <c r="E63" s="229" t="s">
        <v>427</v>
      </c>
      <c r="F63" s="227"/>
      <c r="G63" s="226" t="s">
        <v>444</v>
      </c>
      <c r="H63" s="386">
        <f>H64+H65+H66</f>
        <v>3075</v>
      </c>
      <c r="I63" s="386">
        <f t="shared" ref="I63" si="26">I64+I65+I66</f>
        <v>2646</v>
      </c>
      <c r="J63" s="965">
        <f t="shared" si="3"/>
        <v>86.048780487804876</v>
      </c>
      <c r="K63" s="128"/>
      <c r="L63" s="570"/>
      <c r="M63" s="570"/>
      <c r="N63" s="966"/>
      <c r="O63" s="128"/>
      <c r="P63" s="150">
        <f t="shared" si="20"/>
        <v>3075</v>
      </c>
      <c r="Q63" s="150">
        <f t="shared" si="1"/>
        <v>2646</v>
      </c>
      <c r="R63" s="1001">
        <f t="shared" si="4"/>
        <v>86.048780487804876</v>
      </c>
    </row>
    <row r="64" spans="1:18" ht="12" customHeight="1" x14ac:dyDescent="0.2">
      <c r="B64" s="172">
        <f t="shared" si="5"/>
        <v>59</v>
      </c>
      <c r="C64" s="126"/>
      <c r="D64" s="126"/>
      <c r="E64" s="568"/>
      <c r="F64" s="149">
        <v>610</v>
      </c>
      <c r="G64" s="201" t="s">
        <v>257</v>
      </c>
      <c r="H64" s="387">
        <v>700</v>
      </c>
      <c r="I64" s="387">
        <v>690</v>
      </c>
      <c r="J64" s="965">
        <f t="shared" si="3"/>
        <v>98.571428571428584</v>
      </c>
      <c r="K64" s="128"/>
      <c r="L64" s="570"/>
      <c r="M64" s="570"/>
      <c r="N64" s="966"/>
      <c r="O64" s="128"/>
      <c r="P64" s="150">
        <f t="shared" si="20"/>
        <v>700</v>
      </c>
      <c r="Q64" s="150">
        <f t="shared" si="1"/>
        <v>690</v>
      </c>
      <c r="R64" s="1001">
        <f t="shared" si="4"/>
        <v>98.571428571428584</v>
      </c>
    </row>
    <row r="65" spans="1:18" ht="12" customHeight="1" x14ac:dyDescent="0.2">
      <c r="B65" s="172">
        <f t="shared" si="5"/>
        <v>60</v>
      </c>
      <c r="C65" s="126"/>
      <c r="D65" s="126"/>
      <c r="E65" s="568"/>
      <c r="F65" s="149">
        <v>620</v>
      </c>
      <c r="G65" s="201" t="s">
        <v>259</v>
      </c>
      <c r="H65" s="387">
        <v>245</v>
      </c>
      <c r="I65" s="387">
        <v>243</v>
      </c>
      <c r="J65" s="965">
        <f t="shared" si="3"/>
        <v>99.183673469387756</v>
      </c>
      <c r="K65" s="128"/>
      <c r="L65" s="570"/>
      <c r="M65" s="570"/>
      <c r="N65" s="966"/>
      <c r="O65" s="128"/>
      <c r="P65" s="150">
        <f t="shared" si="20"/>
        <v>245</v>
      </c>
      <c r="Q65" s="150">
        <f t="shared" si="1"/>
        <v>243</v>
      </c>
      <c r="R65" s="1001">
        <f t="shared" si="4"/>
        <v>99.183673469387756</v>
      </c>
    </row>
    <row r="66" spans="1:18" ht="12" customHeight="1" x14ac:dyDescent="0.2">
      <c r="B66" s="172">
        <f t="shared" si="5"/>
        <v>61</v>
      </c>
      <c r="C66" s="126"/>
      <c r="D66" s="126"/>
      <c r="E66" s="568"/>
      <c r="F66" s="149">
        <v>630</v>
      </c>
      <c r="G66" s="201" t="s">
        <v>446</v>
      </c>
      <c r="H66" s="387">
        <f>SUM(H67:H70)</f>
        <v>2130</v>
      </c>
      <c r="I66" s="387">
        <f t="shared" ref="I66" si="27">SUM(I67:I70)</f>
        <v>1713</v>
      </c>
      <c r="J66" s="965">
        <f t="shared" si="3"/>
        <v>80.422535211267615</v>
      </c>
      <c r="K66" s="128"/>
      <c r="L66" s="570"/>
      <c r="M66" s="570"/>
      <c r="N66" s="966"/>
      <c r="O66" s="128"/>
      <c r="P66" s="150">
        <f t="shared" si="20"/>
        <v>2130</v>
      </c>
      <c r="Q66" s="150">
        <f t="shared" si="1"/>
        <v>1713</v>
      </c>
      <c r="R66" s="1001">
        <f t="shared" si="4"/>
        <v>80.422535211267615</v>
      </c>
    </row>
    <row r="67" spans="1:18" ht="12" customHeight="1" x14ac:dyDescent="0.2">
      <c r="B67" s="172">
        <f t="shared" si="5"/>
        <v>62</v>
      </c>
      <c r="C67" s="126"/>
      <c r="D67" s="126"/>
      <c r="E67" s="568"/>
      <c r="F67" s="130">
        <v>633</v>
      </c>
      <c r="G67" s="193" t="s">
        <v>247</v>
      </c>
      <c r="H67" s="570">
        <v>800</v>
      </c>
      <c r="I67" s="570">
        <v>718</v>
      </c>
      <c r="J67" s="966">
        <f t="shared" si="3"/>
        <v>89.75</v>
      </c>
      <c r="K67" s="128"/>
      <c r="L67" s="570"/>
      <c r="M67" s="570"/>
      <c r="N67" s="966"/>
      <c r="O67" s="128"/>
      <c r="P67" s="572">
        <f t="shared" si="20"/>
        <v>800</v>
      </c>
      <c r="Q67" s="572">
        <f t="shared" si="1"/>
        <v>718</v>
      </c>
      <c r="R67" s="986">
        <f t="shared" si="4"/>
        <v>89.75</v>
      </c>
    </row>
    <row r="68" spans="1:18" ht="12" customHeight="1" x14ac:dyDescent="0.2">
      <c r="B68" s="172">
        <f t="shared" si="5"/>
        <v>63</v>
      </c>
      <c r="C68" s="126"/>
      <c r="D68" s="126"/>
      <c r="E68" s="568"/>
      <c r="F68" s="130">
        <v>634</v>
      </c>
      <c r="G68" s="193" t="s">
        <v>260</v>
      </c>
      <c r="H68" s="570">
        <v>450</v>
      </c>
      <c r="I68" s="570">
        <v>210</v>
      </c>
      <c r="J68" s="966">
        <f t="shared" si="3"/>
        <v>46.666666666666664</v>
      </c>
      <c r="K68" s="128"/>
      <c r="L68" s="570"/>
      <c r="M68" s="570"/>
      <c r="N68" s="966"/>
      <c r="O68" s="128"/>
      <c r="P68" s="572">
        <f t="shared" si="20"/>
        <v>450</v>
      </c>
      <c r="Q68" s="572">
        <f t="shared" si="1"/>
        <v>210</v>
      </c>
      <c r="R68" s="986">
        <f t="shared" si="4"/>
        <v>46.666666666666664</v>
      </c>
    </row>
    <row r="69" spans="1:18" ht="12" customHeight="1" x14ac:dyDescent="0.2">
      <c r="B69" s="172">
        <f t="shared" si="5"/>
        <v>64</v>
      </c>
      <c r="C69" s="126"/>
      <c r="D69" s="126"/>
      <c r="E69" s="568"/>
      <c r="F69" s="130">
        <v>635</v>
      </c>
      <c r="G69" s="193" t="s">
        <v>261</v>
      </c>
      <c r="H69" s="570">
        <f>350+350</f>
        <v>700</v>
      </c>
      <c r="I69" s="570">
        <v>684</v>
      </c>
      <c r="J69" s="966">
        <f t="shared" si="3"/>
        <v>97.714285714285708</v>
      </c>
      <c r="K69" s="128"/>
      <c r="L69" s="570"/>
      <c r="M69" s="570"/>
      <c r="N69" s="966"/>
      <c r="O69" s="128"/>
      <c r="P69" s="572">
        <f t="shared" si="20"/>
        <v>700</v>
      </c>
      <c r="Q69" s="572">
        <f t="shared" ref="Q69:Q72" si="28">I69+M69</f>
        <v>684</v>
      </c>
      <c r="R69" s="986">
        <f t="shared" si="4"/>
        <v>97.714285714285708</v>
      </c>
    </row>
    <row r="70" spans="1:18" ht="12" customHeight="1" x14ac:dyDescent="0.2">
      <c r="B70" s="172">
        <f t="shared" si="5"/>
        <v>65</v>
      </c>
      <c r="C70" s="568"/>
      <c r="D70" s="568"/>
      <c r="E70" s="568"/>
      <c r="F70" s="568">
        <v>637</v>
      </c>
      <c r="G70" s="204" t="s">
        <v>248</v>
      </c>
      <c r="H70" s="570">
        <f>330-150</f>
        <v>180</v>
      </c>
      <c r="I70" s="570">
        <v>101</v>
      </c>
      <c r="J70" s="966">
        <f t="shared" si="3"/>
        <v>56.111111111111114</v>
      </c>
      <c r="K70" s="128"/>
      <c r="L70" s="570"/>
      <c r="M70" s="570"/>
      <c r="N70" s="966"/>
      <c r="O70" s="128"/>
      <c r="P70" s="572">
        <f t="shared" si="20"/>
        <v>180</v>
      </c>
      <c r="Q70" s="572">
        <f t="shared" si="28"/>
        <v>101</v>
      </c>
      <c r="R70" s="986">
        <f t="shared" si="4"/>
        <v>56.111111111111114</v>
      </c>
    </row>
    <row r="71" spans="1:18" ht="12" customHeight="1" x14ac:dyDescent="0.2">
      <c r="B71" s="172">
        <f t="shared" si="5"/>
        <v>66</v>
      </c>
      <c r="C71" s="691"/>
      <c r="D71" s="568"/>
      <c r="E71" s="568"/>
      <c r="F71" s="730">
        <v>717</v>
      </c>
      <c r="G71" s="763" t="s">
        <v>766</v>
      </c>
      <c r="H71" s="379"/>
      <c r="I71" s="379"/>
      <c r="J71" s="979"/>
      <c r="K71" s="764"/>
      <c r="L71" s="379">
        <v>15000</v>
      </c>
      <c r="M71" s="379">
        <v>14614</v>
      </c>
      <c r="N71" s="979">
        <f t="shared" si="14"/>
        <v>97.426666666666662</v>
      </c>
      <c r="O71" s="764"/>
      <c r="P71" s="765">
        <f t="shared" si="20"/>
        <v>15000</v>
      </c>
      <c r="Q71" s="765">
        <f t="shared" si="28"/>
        <v>14614</v>
      </c>
      <c r="R71" s="986">
        <f t="shared" ref="R71" si="29">Q71/P71*100</f>
        <v>97.426666666666662</v>
      </c>
    </row>
    <row r="72" spans="1:18" ht="16.5" thickBot="1" x14ac:dyDescent="0.3">
      <c r="B72" s="172">
        <v>69</v>
      </c>
      <c r="C72" s="278">
        <v>8</v>
      </c>
      <c r="D72" s="279" t="s">
        <v>548</v>
      </c>
      <c r="E72" s="280"/>
      <c r="F72" s="280"/>
      <c r="G72" s="281"/>
      <c r="H72" s="418">
        <v>0</v>
      </c>
      <c r="I72" s="418">
        <v>0</v>
      </c>
      <c r="J72" s="973">
        <v>0</v>
      </c>
      <c r="K72" s="117"/>
      <c r="L72" s="818">
        <v>0</v>
      </c>
      <c r="M72" s="818">
        <v>0</v>
      </c>
      <c r="N72" s="1004">
        <v>0</v>
      </c>
      <c r="O72" s="284"/>
      <c r="P72" s="375">
        <f>H72+L72</f>
        <v>0</v>
      </c>
      <c r="Q72" s="375">
        <f t="shared" si="28"/>
        <v>0</v>
      </c>
      <c r="R72" s="987"/>
    </row>
    <row r="73" spans="1:18" ht="15.75" x14ac:dyDescent="0.25">
      <c r="B73" s="498"/>
      <c r="C73" s="499"/>
      <c r="D73" s="500"/>
      <c r="E73" s="501"/>
      <c r="F73" s="501"/>
      <c r="G73" s="502"/>
      <c r="H73" s="503"/>
      <c r="I73" s="503"/>
      <c r="J73" s="503"/>
      <c r="K73" s="86"/>
      <c r="L73" s="504"/>
      <c r="M73" s="504"/>
      <c r="N73" s="504"/>
      <c r="O73" s="86"/>
      <c r="P73" s="505"/>
    </row>
    <row r="74" spans="1:18" ht="12" customHeight="1" x14ac:dyDescent="0.2">
      <c r="A74"/>
      <c r="B74"/>
      <c r="C74"/>
      <c r="H74"/>
      <c r="I74"/>
      <c r="J74"/>
      <c r="K74"/>
      <c r="L74"/>
      <c r="M74"/>
      <c r="N74"/>
      <c r="O74"/>
      <c r="P74"/>
    </row>
    <row r="75" spans="1:18" ht="12" customHeight="1" x14ac:dyDescent="0.2">
      <c r="A75"/>
      <c r="B75"/>
      <c r="C75"/>
      <c r="H75"/>
      <c r="I75"/>
      <c r="J75"/>
      <c r="K75"/>
      <c r="L75"/>
      <c r="M75"/>
      <c r="N75"/>
      <c r="O75"/>
      <c r="P75"/>
    </row>
    <row r="76" spans="1:18" ht="12" customHeight="1" x14ac:dyDescent="0.2">
      <c r="A76"/>
      <c r="B76"/>
      <c r="C76"/>
      <c r="H76"/>
      <c r="I76"/>
      <c r="J76"/>
      <c r="K76"/>
      <c r="L76"/>
      <c r="M76"/>
      <c r="N76"/>
      <c r="O76"/>
      <c r="P76"/>
    </row>
    <row r="77" spans="1:18" ht="12" customHeight="1" x14ac:dyDescent="0.2">
      <c r="A77"/>
      <c r="B77"/>
      <c r="C77"/>
      <c r="H77"/>
      <c r="I77"/>
      <c r="J77"/>
      <c r="K77"/>
      <c r="L77"/>
      <c r="M77"/>
      <c r="N77"/>
      <c r="O77"/>
      <c r="P77"/>
    </row>
    <row r="78" spans="1:18" ht="12" customHeight="1" x14ac:dyDescent="0.2">
      <c r="A78"/>
      <c r="B78"/>
      <c r="C78"/>
      <c r="H78"/>
      <c r="I78"/>
      <c r="J78"/>
      <c r="K78"/>
      <c r="L78"/>
      <c r="M78"/>
      <c r="N78"/>
      <c r="O78"/>
      <c r="P78"/>
    </row>
    <row r="79" spans="1:18" ht="12" customHeight="1" x14ac:dyDescent="0.2">
      <c r="A79"/>
      <c r="B79"/>
      <c r="C79"/>
      <c r="H79"/>
      <c r="I79"/>
      <c r="J79"/>
      <c r="K79"/>
      <c r="L79"/>
      <c r="M79"/>
      <c r="N79"/>
      <c r="O79"/>
      <c r="P79"/>
    </row>
    <row r="80" spans="1:18" ht="12" customHeight="1" x14ac:dyDescent="0.2">
      <c r="A80"/>
      <c r="B80"/>
      <c r="C80"/>
      <c r="H80"/>
      <c r="I80"/>
      <c r="J80"/>
      <c r="K80"/>
      <c r="L80"/>
      <c r="M80"/>
      <c r="N80"/>
      <c r="O80"/>
      <c r="P80"/>
    </row>
    <row r="81" spans="1:16" ht="12" customHeight="1" x14ac:dyDescent="0.2">
      <c r="A81"/>
      <c r="B81"/>
      <c r="C81"/>
      <c r="H81"/>
      <c r="I81"/>
      <c r="J81"/>
      <c r="K81"/>
      <c r="L81"/>
      <c r="M81"/>
      <c r="N81"/>
      <c r="O81"/>
      <c r="P81"/>
    </row>
    <row r="82" spans="1:16" ht="12" customHeight="1" x14ac:dyDescent="0.2">
      <c r="A82"/>
      <c r="B82"/>
      <c r="C82"/>
      <c r="H82"/>
      <c r="I82"/>
      <c r="J82"/>
      <c r="K82"/>
      <c r="L82"/>
      <c r="M82"/>
      <c r="N82"/>
      <c r="O82"/>
      <c r="P82"/>
    </row>
    <row r="83" spans="1:16" ht="12" customHeight="1" x14ac:dyDescent="0.2">
      <c r="A83"/>
      <c r="B83"/>
      <c r="C83"/>
      <c r="H83"/>
      <c r="I83"/>
      <c r="J83"/>
      <c r="K83"/>
      <c r="L83"/>
      <c r="M83"/>
      <c r="N83"/>
      <c r="O83"/>
      <c r="P83"/>
    </row>
    <row r="84" spans="1:16" ht="15" customHeight="1" x14ac:dyDescent="0.2">
      <c r="A84"/>
      <c r="B84"/>
      <c r="C84"/>
      <c r="H84"/>
      <c r="I84"/>
      <c r="J84"/>
      <c r="K84"/>
      <c r="L84"/>
      <c r="M84"/>
      <c r="N84"/>
      <c r="O84"/>
      <c r="P84"/>
    </row>
    <row r="85" spans="1:16" ht="12" customHeight="1" x14ac:dyDescent="0.2">
      <c r="A85"/>
      <c r="B85"/>
      <c r="C85"/>
      <c r="H85"/>
      <c r="I85"/>
      <c r="J85"/>
      <c r="K85"/>
      <c r="L85"/>
      <c r="M85"/>
      <c r="N85"/>
      <c r="O85"/>
      <c r="P85"/>
    </row>
    <row r="86" spans="1:16" ht="12" customHeight="1" x14ac:dyDescent="0.2">
      <c r="A86"/>
      <c r="B86"/>
      <c r="C86"/>
      <c r="H86"/>
      <c r="I86"/>
      <c r="J86"/>
      <c r="K86"/>
      <c r="L86"/>
      <c r="M86"/>
      <c r="N86"/>
      <c r="O86"/>
      <c r="P86"/>
    </row>
    <row r="87" spans="1:16" ht="12" customHeight="1" x14ac:dyDescent="0.2">
      <c r="A87"/>
      <c r="B87"/>
      <c r="C87"/>
      <c r="H87"/>
      <c r="I87"/>
      <c r="J87"/>
      <c r="K87"/>
      <c r="L87"/>
      <c r="M87"/>
      <c r="N87"/>
      <c r="O87"/>
      <c r="P87"/>
    </row>
    <row r="88" spans="1:16" ht="12" customHeight="1" x14ac:dyDescent="0.2">
      <c r="A88"/>
      <c r="B88"/>
      <c r="C88"/>
      <c r="H88"/>
      <c r="I88"/>
      <c r="J88"/>
      <c r="K88"/>
      <c r="L88"/>
      <c r="M88"/>
      <c r="N88"/>
      <c r="O88"/>
      <c r="P88"/>
    </row>
    <row r="89" spans="1:16" ht="12" customHeight="1" x14ac:dyDescent="0.2">
      <c r="A89"/>
      <c r="B89"/>
      <c r="C89"/>
      <c r="H89"/>
      <c r="I89"/>
      <c r="J89"/>
      <c r="K89"/>
      <c r="L89"/>
      <c r="M89"/>
      <c r="N89"/>
      <c r="O89"/>
      <c r="P89"/>
    </row>
    <row r="90" spans="1:16" ht="12" customHeight="1" x14ac:dyDescent="0.2">
      <c r="A90"/>
      <c r="B90"/>
      <c r="C90"/>
      <c r="H90"/>
      <c r="I90"/>
      <c r="J90"/>
      <c r="K90"/>
      <c r="L90"/>
      <c r="M90"/>
      <c r="N90"/>
      <c r="O90"/>
      <c r="P90"/>
    </row>
    <row r="91" spans="1:16" ht="12" customHeight="1" x14ac:dyDescent="0.2">
      <c r="A91"/>
      <c r="B91"/>
      <c r="C91"/>
      <c r="H91"/>
      <c r="I91"/>
      <c r="J91"/>
      <c r="K91"/>
      <c r="L91"/>
      <c r="M91"/>
      <c r="N91"/>
      <c r="O91"/>
      <c r="P91"/>
    </row>
    <row r="92" spans="1:16" ht="12" customHeight="1" x14ac:dyDescent="0.2">
      <c r="A92"/>
      <c r="B92"/>
      <c r="C92"/>
      <c r="H92"/>
      <c r="I92"/>
      <c r="J92"/>
      <c r="K92"/>
      <c r="L92"/>
      <c r="M92"/>
      <c r="N92"/>
      <c r="O92"/>
      <c r="P92"/>
    </row>
    <row r="93" spans="1:16" ht="12" customHeight="1" x14ac:dyDescent="0.2">
      <c r="A93"/>
      <c r="B93"/>
      <c r="C93"/>
      <c r="H93"/>
      <c r="I93"/>
      <c r="J93"/>
      <c r="K93"/>
      <c r="L93"/>
      <c r="M93"/>
      <c r="N93"/>
      <c r="O93"/>
      <c r="P93"/>
    </row>
    <row r="94" spans="1:16" ht="12" customHeight="1" x14ac:dyDescent="0.2">
      <c r="A94"/>
      <c r="B94"/>
      <c r="C94"/>
      <c r="H94"/>
      <c r="I94"/>
      <c r="J94"/>
      <c r="K94"/>
      <c r="L94"/>
      <c r="M94"/>
      <c r="N94"/>
      <c r="O94"/>
      <c r="P94"/>
    </row>
    <row r="95" spans="1:16" x14ac:dyDescent="0.2">
      <c r="A95"/>
      <c r="B95"/>
      <c r="C95"/>
      <c r="H95"/>
      <c r="I95"/>
      <c r="J95"/>
      <c r="K95"/>
      <c r="L95"/>
      <c r="M95"/>
      <c r="N95"/>
      <c r="O95"/>
      <c r="P95"/>
    </row>
    <row r="96" spans="1:16" ht="12" customHeight="1" x14ac:dyDescent="0.2">
      <c r="A96"/>
      <c r="B96"/>
      <c r="C96"/>
      <c r="H96"/>
      <c r="I96"/>
      <c r="J96"/>
      <c r="K96"/>
      <c r="L96"/>
      <c r="M96"/>
      <c r="N96"/>
      <c r="O96"/>
      <c r="P96"/>
    </row>
    <row r="97" spans="1:16" ht="12" customHeight="1" x14ac:dyDescent="0.2">
      <c r="A97"/>
      <c r="B97"/>
      <c r="C97"/>
      <c r="H97"/>
      <c r="I97"/>
      <c r="J97"/>
      <c r="K97"/>
      <c r="L97"/>
      <c r="M97"/>
      <c r="N97"/>
      <c r="O97"/>
      <c r="P97"/>
    </row>
    <row r="98" spans="1:16" ht="12" customHeight="1" x14ac:dyDescent="0.2">
      <c r="A98"/>
      <c r="B98"/>
      <c r="C98"/>
      <c r="H98"/>
      <c r="I98"/>
      <c r="J98"/>
      <c r="K98"/>
      <c r="L98"/>
      <c r="M98"/>
      <c r="N98"/>
      <c r="O98"/>
      <c r="P98"/>
    </row>
    <row r="99" spans="1:16" ht="12" customHeight="1" x14ac:dyDescent="0.2">
      <c r="A99"/>
      <c r="B99"/>
      <c r="C99"/>
      <c r="H99"/>
      <c r="I99"/>
      <c r="J99"/>
      <c r="K99"/>
      <c r="L99"/>
      <c r="M99"/>
      <c r="N99"/>
      <c r="O99"/>
      <c r="P99"/>
    </row>
    <row r="100" spans="1:16" ht="17.25" customHeight="1" x14ac:dyDescent="0.2">
      <c r="A100"/>
      <c r="B100"/>
      <c r="C100"/>
      <c r="H100"/>
      <c r="I100"/>
      <c r="J100"/>
      <c r="K100"/>
      <c r="L100"/>
      <c r="M100"/>
      <c r="N100"/>
      <c r="O100"/>
      <c r="P100"/>
    </row>
    <row r="101" spans="1:16" ht="12" customHeight="1" x14ac:dyDescent="0.2">
      <c r="A101"/>
      <c r="B101"/>
      <c r="C101"/>
      <c r="H101"/>
      <c r="I101"/>
      <c r="J101"/>
      <c r="K101"/>
      <c r="L101"/>
      <c r="M101"/>
      <c r="N101"/>
      <c r="O101"/>
      <c r="P101"/>
    </row>
    <row r="102" spans="1:16" x14ac:dyDescent="0.2">
      <c r="A102"/>
      <c r="B102"/>
      <c r="C102"/>
      <c r="H102"/>
      <c r="I102"/>
      <c r="J102"/>
      <c r="K102"/>
      <c r="L102"/>
      <c r="M102"/>
      <c r="N102"/>
      <c r="O102"/>
      <c r="P102"/>
    </row>
    <row r="103" spans="1:16" ht="17.25" customHeight="1" x14ac:dyDescent="0.2">
      <c r="A103"/>
      <c r="B103"/>
      <c r="C103"/>
      <c r="H103"/>
      <c r="I103"/>
      <c r="J103"/>
      <c r="K103"/>
      <c r="L103"/>
      <c r="M103"/>
      <c r="N103"/>
      <c r="O103"/>
      <c r="P103"/>
    </row>
    <row r="104" spans="1:16" ht="12" customHeight="1" x14ac:dyDescent="0.2">
      <c r="A104"/>
      <c r="B104"/>
      <c r="C104"/>
      <c r="H104"/>
      <c r="I104"/>
      <c r="J104"/>
      <c r="K104"/>
      <c r="L104"/>
      <c r="M104"/>
      <c r="N104"/>
      <c r="O104"/>
      <c r="P104"/>
    </row>
    <row r="105" spans="1:16" x14ac:dyDescent="0.2">
      <c r="A105"/>
      <c r="B105"/>
      <c r="C105"/>
      <c r="H105"/>
      <c r="I105"/>
      <c r="J105"/>
      <c r="K105"/>
      <c r="L105"/>
      <c r="M105"/>
      <c r="N105"/>
      <c r="O105"/>
      <c r="P105"/>
    </row>
    <row r="106" spans="1:16" ht="12" customHeight="1" x14ac:dyDescent="0.2">
      <c r="A106"/>
      <c r="B106"/>
      <c r="C106"/>
      <c r="H106"/>
      <c r="I106"/>
      <c r="J106"/>
      <c r="K106"/>
      <c r="L106"/>
      <c r="M106"/>
      <c r="N106"/>
      <c r="O106"/>
      <c r="P106"/>
    </row>
    <row r="107" spans="1:16" ht="12" customHeight="1" x14ac:dyDescent="0.2">
      <c r="A107"/>
      <c r="B107"/>
      <c r="C107"/>
      <c r="H107"/>
      <c r="I107"/>
      <c r="J107"/>
      <c r="K107"/>
      <c r="L107"/>
      <c r="M107"/>
      <c r="N107"/>
      <c r="O107"/>
      <c r="P107"/>
    </row>
    <row r="108" spans="1:16" ht="12" customHeight="1" x14ac:dyDescent="0.2">
      <c r="A108"/>
      <c r="B108"/>
      <c r="C108"/>
      <c r="H108"/>
      <c r="I108"/>
      <c r="J108"/>
      <c r="K108"/>
      <c r="L108"/>
      <c r="M108"/>
      <c r="N108"/>
      <c r="O108"/>
      <c r="P108"/>
    </row>
    <row r="109" spans="1:16" ht="12" customHeight="1" x14ac:dyDescent="0.2">
      <c r="A109"/>
      <c r="B109"/>
      <c r="C109"/>
      <c r="H109"/>
      <c r="I109"/>
      <c r="J109"/>
      <c r="K109"/>
      <c r="L109"/>
      <c r="M109"/>
      <c r="N109"/>
      <c r="O109"/>
      <c r="P109"/>
    </row>
    <row r="110" spans="1:16" x14ac:dyDescent="0.2">
      <c r="A110"/>
      <c r="B110"/>
      <c r="C110"/>
      <c r="H110"/>
      <c r="I110"/>
      <c r="J110"/>
      <c r="K110"/>
      <c r="L110"/>
      <c r="M110"/>
      <c r="N110"/>
      <c r="O110"/>
      <c r="P110"/>
    </row>
    <row r="111" spans="1:16" ht="15" customHeight="1" x14ac:dyDescent="0.2">
      <c r="A111"/>
      <c r="B111"/>
      <c r="C111"/>
      <c r="H111"/>
      <c r="I111"/>
      <c r="J111"/>
      <c r="K111"/>
      <c r="L111"/>
      <c r="M111"/>
      <c r="N111"/>
      <c r="O111"/>
      <c r="P111"/>
    </row>
    <row r="112" spans="1:16" ht="15" customHeight="1" x14ac:dyDescent="0.2">
      <c r="A112"/>
      <c r="B112"/>
      <c r="C112"/>
      <c r="H112"/>
      <c r="I112"/>
      <c r="J112"/>
      <c r="K112"/>
      <c r="L112"/>
      <c r="M112"/>
      <c r="N112"/>
      <c r="O112"/>
      <c r="P112"/>
    </row>
    <row r="113" spans="1:16" ht="15" customHeight="1" x14ac:dyDescent="0.2">
      <c r="A113"/>
      <c r="B113"/>
      <c r="C113"/>
      <c r="H113"/>
      <c r="I113"/>
      <c r="J113"/>
      <c r="K113"/>
      <c r="L113"/>
      <c r="M113"/>
      <c r="N113"/>
      <c r="O113"/>
      <c r="P113"/>
    </row>
    <row r="114" spans="1:16" ht="15" customHeight="1" x14ac:dyDescent="0.2">
      <c r="A114"/>
      <c r="B114"/>
      <c r="C114"/>
      <c r="H114"/>
      <c r="I114"/>
      <c r="J114"/>
      <c r="K114"/>
      <c r="L114"/>
      <c r="M114"/>
      <c r="N114"/>
      <c r="O114"/>
      <c r="P114"/>
    </row>
    <row r="115" spans="1:16" ht="15" customHeight="1" x14ac:dyDescent="0.2">
      <c r="A115"/>
      <c r="B115"/>
      <c r="C115"/>
      <c r="H115"/>
      <c r="I115"/>
      <c r="J115"/>
      <c r="K115"/>
      <c r="L115"/>
      <c r="M115"/>
      <c r="N115"/>
      <c r="O115"/>
      <c r="P115"/>
    </row>
    <row r="116" spans="1:16" ht="15" customHeight="1" x14ac:dyDescent="0.2">
      <c r="A116"/>
      <c r="B116"/>
      <c r="C116"/>
      <c r="H116"/>
      <c r="I116"/>
      <c r="J116"/>
      <c r="K116"/>
      <c r="L116"/>
      <c r="M116"/>
      <c r="N116"/>
      <c r="O116"/>
      <c r="P116"/>
    </row>
    <row r="117" spans="1:16" ht="15" customHeight="1" x14ac:dyDescent="0.2">
      <c r="A117"/>
      <c r="B117"/>
      <c r="C117"/>
      <c r="H117"/>
      <c r="I117"/>
      <c r="J117"/>
      <c r="K117"/>
      <c r="L117"/>
      <c r="M117"/>
      <c r="N117"/>
      <c r="O117"/>
      <c r="P117"/>
    </row>
    <row r="118" spans="1:16" ht="15" customHeight="1" x14ac:dyDescent="0.2">
      <c r="A118"/>
      <c r="B118"/>
      <c r="C118"/>
      <c r="H118"/>
      <c r="I118"/>
      <c r="J118"/>
      <c r="K118"/>
      <c r="L118"/>
      <c r="M118"/>
      <c r="N118"/>
      <c r="O118"/>
      <c r="P118"/>
    </row>
    <row r="119" spans="1:16" ht="15" customHeight="1" x14ac:dyDescent="0.2">
      <c r="A119"/>
      <c r="B119"/>
      <c r="C119"/>
      <c r="H119"/>
      <c r="I119"/>
      <c r="J119"/>
      <c r="K119"/>
      <c r="L119"/>
      <c r="M119"/>
      <c r="N119"/>
      <c r="O119"/>
      <c r="P119"/>
    </row>
    <row r="120" spans="1:16" ht="15" customHeight="1" x14ac:dyDescent="0.2">
      <c r="A120"/>
      <c r="B120"/>
      <c r="C120"/>
      <c r="H120"/>
      <c r="I120"/>
      <c r="J120"/>
      <c r="K120"/>
      <c r="L120"/>
      <c r="M120"/>
      <c r="N120"/>
      <c r="O120"/>
      <c r="P120"/>
    </row>
    <row r="121" spans="1:16" ht="15" customHeight="1" x14ac:dyDescent="0.2">
      <c r="A121"/>
      <c r="B121"/>
      <c r="C121"/>
      <c r="H121"/>
      <c r="I121"/>
      <c r="J121"/>
      <c r="K121"/>
      <c r="L121"/>
      <c r="M121"/>
      <c r="N121"/>
      <c r="O121"/>
      <c r="P121"/>
    </row>
    <row r="122" spans="1:16" ht="15" customHeight="1" x14ac:dyDescent="0.2">
      <c r="A122"/>
      <c r="B122"/>
      <c r="C122"/>
      <c r="H122"/>
      <c r="I122"/>
      <c r="J122"/>
      <c r="K122"/>
      <c r="L122"/>
      <c r="M122"/>
      <c r="N122"/>
      <c r="O122"/>
      <c r="P122"/>
    </row>
    <row r="123" spans="1:16" ht="15" customHeight="1" x14ac:dyDescent="0.2">
      <c r="A123"/>
      <c r="B123"/>
      <c r="C123"/>
      <c r="H123"/>
      <c r="I123"/>
      <c r="J123"/>
      <c r="K123"/>
      <c r="L123"/>
      <c r="M123"/>
      <c r="N123"/>
      <c r="O123"/>
      <c r="P123"/>
    </row>
    <row r="124" spans="1:16" ht="15" customHeight="1" x14ac:dyDescent="0.2">
      <c r="A124"/>
      <c r="B124"/>
      <c r="C124"/>
      <c r="H124"/>
      <c r="I124"/>
      <c r="J124"/>
      <c r="K124"/>
      <c r="L124"/>
      <c r="M124"/>
      <c r="N124"/>
      <c r="O124"/>
      <c r="P124"/>
    </row>
    <row r="125" spans="1:16" ht="15" customHeight="1" x14ac:dyDescent="0.2">
      <c r="A125"/>
      <c r="B125"/>
      <c r="C125"/>
      <c r="H125"/>
      <c r="I125"/>
      <c r="J125"/>
      <c r="K125"/>
      <c r="L125"/>
      <c r="M125"/>
      <c r="N125"/>
      <c r="O125"/>
      <c r="P125"/>
    </row>
    <row r="126" spans="1:16" ht="15" customHeight="1" x14ac:dyDescent="0.2">
      <c r="A126"/>
      <c r="B126"/>
      <c r="C126"/>
      <c r="H126"/>
      <c r="I126"/>
      <c r="J126"/>
      <c r="K126"/>
      <c r="L126"/>
      <c r="M126"/>
      <c r="N126"/>
      <c r="O126"/>
      <c r="P126"/>
    </row>
    <row r="127" spans="1:16" ht="15" customHeight="1" x14ac:dyDescent="0.2">
      <c r="A127"/>
      <c r="B127"/>
      <c r="C127"/>
      <c r="H127"/>
      <c r="I127"/>
      <c r="J127"/>
      <c r="K127"/>
      <c r="L127"/>
      <c r="M127"/>
      <c r="N127"/>
      <c r="O127"/>
      <c r="P127"/>
    </row>
    <row r="128" spans="1:16" ht="15" customHeight="1" x14ac:dyDescent="0.2">
      <c r="A128"/>
      <c r="B128"/>
      <c r="C128"/>
      <c r="H128"/>
      <c r="I128"/>
      <c r="J128"/>
      <c r="K128"/>
      <c r="L128"/>
      <c r="M128"/>
      <c r="N128"/>
      <c r="O128"/>
      <c r="P128"/>
    </row>
    <row r="129" spans="1:16" ht="15" customHeight="1" x14ac:dyDescent="0.2">
      <c r="A129"/>
      <c r="B129"/>
      <c r="C129"/>
      <c r="H129"/>
      <c r="I129"/>
      <c r="J129"/>
      <c r="K129"/>
      <c r="L129"/>
      <c r="M129"/>
      <c r="N129"/>
      <c r="O129"/>
      <c r="P129"/>
    </row>
    <row r="130" spans="1:16" ht="15" customHeight="1" x14ac:dyDescent="0.2">
      <c r="A130"/>
      <c r="B130"/>
      <c r="C130"/>
      <c r="H130"/>
      <c r="I130"/>
      <c r="J130"/>
      <c r="K130"/>
      <c r="L130"/>
      <c r="M130"/>
      <c r="N130"/>
      <c r="O130"/>
      <c r="P130"/>
    </row>
    <row r="131" spans="1:16" ht="15" customHeight="1" x14ac:dyDescent="0.2">
      <c r="A131"/>
      <c r="B131"/>
      <c r="C131"/>
      <c r="H131"/>
      <c r="I131"/>
      <c r="J131"/>
      <c r="K131"/>
      <c r="L131"/>
      <c r="M131"/>
      <c r="N131"/>
      <c r="O131"/>
      <c r="P131"/>
    </row>
    <row r="132" spans="1:16" ht="15" customHeight="1" x14ac:dyDescent="0.2">
      <c r="A132"/>
      <c r="B132"/>
      <c r="C132"/>
      <c r="H132"/>
      <c r="I132"/>
      <c r="J132"/>
      <c r="K132"/>
      <c r="L132"/>
      <c r="M132"/>
      <c r="N132"/>
      <c r="O132"/>
      <c r="P132"/>
    </row>
    <row r="133" spans="1:16" ht="15" customHeight="1" x14ac:dyDescent="0.2">
      <c r="A133"/>
      <c r="B133"/>
      <c r="C133"/>
      <c r="H133"/>
      <c r="I133"/>
      <c r="J133"/>
      <c r="K133"/>
      <c r="L133"/>
      <c r="M133"/>
      <c r="N133"/>
      <c r="O133"/>
      <c r="P133"/>
    </row>
    <row r="134" spans="1:16" ht="15" customHeight="1" x14ac:dyDescent="0.2">
      <c r="A134"/>
      <c r="B134"/>
      <c r="C134"/>
      <c r="H134"/>
      <c r="I134"/>
      <c r="J134"/>
      <c r="K134"/>
      <c r="L134"/>
      <c r="M134"/>
      <c r="N134"/>
      <c r="O134"/>
      <c r="P134"/>
    </row>
    <row r="135" spans="1:16" ht="26.25" customHeight="1" x14ac:dyDescent="0.2">
      <c r="A135"/>
      <c r="B135"/>
      <c r="C135"/>
      <c r="H135"/>
      <c r="I135"/>
      <c r="J135"/>
      <c r="K135"/>
      <c r="L135"/>
      <c r="M135"/>
      <c r="N135"/>
      <c r="O135"/>
      <c r="P135"/>
    </row>
    <row r="136" spans="1:16" ht="13.5" customHeight="1" x14ac:dyDescent="0.2">
      <c r="A136"/>
      <c r="B136"/>
      <c r="C136"/>
      <c r="H136"/>
      <c r="I136"/>
      <c r="J136"/>
      <c r="K136"/>
      <c r="L136"/>
      <c r="M136"/>
      <c r="N136"/>
      <c r="O136"/>
      <c r="P136"/>
    </row>
    <row r="137" spans="1:16" ht="38.25" customHeight="1" x14ac:dyDescent="0.2">
      <c r="A137"/>
      <c r="B137"/>
      <c r="C137"/>
      <c r="H137"/>
      <c r="I137"/>
      <c r="J137"/>
      <c r="K137"/>
      <c r="L137"/>
      <c r="M137"/>
      <c r="N137"/>
      <c r="O137"/>
      <c r="P137"/>
    </row>
    <row r="138" spans="1:16" ht="31.5" customHeight="1" x14ac:dyDescent="0.2">
      <c r="A138"/>
      <c r="B138"/>
      <c r="C138"/>
      <c r="H138"/>
      <c r="I138"/>
      <c r="J138"/>
      <c r="K138"/>
      <c r="L138"/>
      <c r="M138"/>
      <c r="N138"/>
      <c r="O138"/>
      <c r="P138"/>
    </row>
    <row r="139" spans="1:16" x14ac:dyDescent="0.2">
      <c r="A139"/>
      <c r="B139"/>
      <c r="C139"/>
      <c r="H139"/>
      <c r="I139"/>
      <c r="J139"/>
      <c r="K139"/>
      <c r="L139"/>
      <c r="M139"/>
      <c r="N139"/>
      <c r="O139"/>
      <c r="P139"/>
    </row>
    <row r="140" spans="1:16" x14ac:dyDescent="0.2">
      <c r="A140"/>
      <c r="B140"/>
      <c r="C140"/>
      <c r="H140"/>
      <c r="I140"/>
      <c r="J140"/>
      <c r="K140"/>
      <c r="L140"/>
      <c r="M140"/>
      <c r="N140"/>
      <c r="O140"/>
      <c r="P140"/>
    </row>
    <row r="141" spans="1:16" ht="12" customHeight="1" x14ac:dyDescent="0.2">
      <c r="A141"/>
      <c r="B141"/>
      <c r="C141"/>
      <c r="H141"/>
      <c r="I141"/>
      <c r="J141"/>
      <c r="K141"/>
      <c r="L141"/>
      <c r="M141"/>
      <c r="N141"/>
      <c r="O141"/>
      <c r="P141"/>
    </row>
    <row r="142" spans="1:16" x14ac:dyDescent="0.2">
      <c r="A142"/>
      <c r="B142"/>
      <c r="C142"/>
      <c r="H142"/>
      <c r="I142"/>
      <c r="J142"/>
      <c r="K142"/>
      <c r="L142"/>
      <c r="M142"/>
      <c r="N142"/>
      <c r="O142"/>
      <c r="P142"/>
    </row>
    <row r="143" spans="1:16" x14ac:dyDescent="0.2">
      <c r="A143"/>
      <c r="B143"/>
      <c r="C143"/>
      <c r="H143"/>
      <c r="I143"/>
      <c r="J143"/>
      <c r="K143"/>
      <c r="L143"/>
      <c r="M143"/>
      <c r="N143"/>
      <c r="O143"/>
      <c r="P143"/>
    </row>
    <row r="144" spans="1:16" x14ac:dyDescent="0.2">
      <c r="A144"/>
      <c r="B144"/>
      <c r="C144"/>
      <c r="H144"/>
      <c r="I144"/>
      <c r="J144"/>
      <c r="K144"/>
      <c r="L144"/>
      <c r="M144"/>
      <c r="N144"/>
      <c r="O144"/>
      <c r="P144"/>
    </row>
    <row r="145" spans="1:16" ht="12" customHeight="1" x14ac:dyDescent="0.2">
      <c r="A145"/>
      <c r="B145"/>
      <c r="C145"/>
      <c r="H145"/>
      <c r="I145"/>
      <c r="J145"/>
      <c r="K145"/>
      <c r="L145"/>
      <c r="M145"/>
      <c r="N145"/>
      <c r="O145"/>
      <c r="P145"/>
    </row>
    <row r="146" spans="1:16" ht="12" customHeight="1" x14ac:dyDescent="0.2">
      <c r="A146"/>
      <c r="B146"/>
      <c r="C146"/>
      <c r="H146"/>
      <c r="I146"/>
      <c r="J146"/>
      <c r="K146"/>
      <c r="L146"/>
      <c r="M146"/>
      <c r="N146"/>
      <c r="O146"/>
      <c r="P146"/>
    </row>
    <row r="147" spans="1:16" ht="12" customHeight="1" x14ac:dyDescent="0.2">
      <c r="A147"/>
      <c r="B147"/>
      <c r="C147"/>
      <c r="H147"/>
      <c r="I147"/>
      <c r="J147"/>
      <c r="K147"/>
      <c r="L147"/>
      <c r="M147"/>
      <c r="N147"/>
      <c r="O147"/>
      <c r="P147"/>
    </row>
    <row r="148" spans="1:16" ht="12" customHeight="1" x14ac:dyDescent="0.2">
      <c r="A148"/>
      <c r="B148"/>
      <c r="C148"/>
      <c r="H148"/>
      <c r="I148"/>
      <c r="J148"/>
      <c r="K148"/>
      <c r="L148"/>
      <c r="M148"/>
      <c r="N148"/>
      <c r="O148"/>
      <c r="P148"/>
    </row>
    <row r="149" spans="1:16" ht="12" customHeight="1" x14ac:dyDescent="0.2">
      <c r="A149"/>
      <c r="B149"/>
      <c r="C149"/>
      <c r="H149"/>
      <c r="I149"/>
      <c r="J149"/>
      <c r="K149"/>
      <c r="L149"/>
      <c r="M149"/>
      <c r="N149"/>
      <c r="O149"/>
      <c r="P149"/>
    </row>
    <row r="150" spans="1:16" ht="12" customHeight="1" x14ac:dyDescent="0.2">
      <c r="A150"/>
      <c r="B150"/>
      <c r="C150"/>
      <c r="H150"/>
      <c r="I150"/>
      <c r="J150"/>
      <c r="K150"/>
      <c r="L150"/>
      <c r="M150"/>
      <c r="N150"/>
      <c r="O150"/>
      <c r="P150"/>
    </row>
    <row r="151" spans="1:16" ht="12" customHeight="1" x14ac:dyDescent="0.2">
      <c r="A151"/>
      <c r="B151"/>
      <c r="C151"/>
      <c r="H151"/>
      <c r="I151"/>
      <c r="J151"/>
      <c r="K151"/>
      <c r="L151"/>
      <c r="M151"/>
      <c r="N151"/>
      <c r="O151"/>
      <c r="P151"/>
    </row>
    <row r="152" spans="1:16" ht="12" customHeight="1" x14ac:dyDescent="0.2">
      <c r="A152"/>
      <c r="B152"/>
      <c r="C152"/>
      <c r="H152"/>
      <c r="I152"/>
      <c r="J152"/>
      <c r="K152"/>
      <c r="L152"/>
      <c r="M152"/>
      <c r="N152"/>
      <c r="O152"/>
      <c r="P152"/>
    </row>
    <row r="153" spans="1:16" ht="12" customHeight="1" x14ac:dyDescent="0.2">
      <c r="A153"/>
      <c r="B153"/>
      <c r="C153"/>
      <c r="H153"/>
      <c r="I153"/>
      <c r="J153"/>
      <c r="K153"/>
      <c r="L153"/>
      <c r="M153"/>
      <c r="N153"/>
      <c r="O153"/>
      <c r="P153"/>
    </row>
    <row r="154" spans="1:16" ht="12" customHeight="1" x14ac:dyDescent="0.2">
      <c r="A154"/>
      <c r="B154"/>
      <c r="C154"/>
      <c r="H154"/>
      <c r="I154"/>
      <c r="J154"/>
      <c r="K154"/>
      <c r="L154"/>
      <c r="M154"/>
      <c r="N154"/>
      <c r="O154"/>
      <c r="P154"/>
    </row>
    <row r="155" spans="1:16" ht="12" customHeight="1" x14ac:dyDescent="0.2">
      <c r="A155"/>
      <c r="B155"/>
      <c r="C155"/>
      <c r="H155"/>
      <c r="I155"/>
      <c r="J155"/>
      <c r="K155"/>
      <c r="L155"/>
      <c r="M155"/>
      <c r="N155"/>
      <c r="O155"/>
      <c r="P155"/>
    </row>
    <row r="156" spans="1:16" ht="12" customHeight="1" x14ac:dyDescent="0.2">
      <c r="A156"/>
      <c r="B156"/>
      <c r="C156"/>
      <c r="H156"/>
      <c r="I156"/>
      <c r="J156"/>
      <c r="K156"/>
      <c r="L156"/>
      <c r="M156"/>
      <c r="N156"/>
      <c r="O156"/>
      <c r="P156"/>
    </row>
    <row r="157" spans="1:16" ht="12" customHeight="1" x14ac:dyDescent="0.2">
      <c r="A157"/>
      <c r="B157"/>
      <c r="C157"/>
      <c r="H157"/>
      <c r="I157"/>
      <c r="J157"/>
      <c r="K157"/>
      <c r="L157"/>
      <c r="M157"/>
      <c r="N157"/>
      <c r="O157"/>
      <c r="P157"/>
    </row>
    <row r="158" spans="1:16" ht="12" customHeight="1" x14ac:dyDescent="0.2">
      <c r="A158"/>
      <c r="B158"/>
      <c r="C158"/>
      <c r="H158"/>
      <c r="I158"/>
      <c r="J158"/>
      <c r="K158"/>
      <c r="L158"/>
      <c r="M158"/>
      <c r="N158"/>
      <c r="O158"/>
      <c r="P158"/>
    </row>
    <row r="159" spans="1:16" x14ac:dyDescent="0.2">
      <c r="A159"/>
      <c r="B159"/>
      <c r="C159"/>
      <c r="H159"/>
      <c r="I159"/>
      <c r="J159"/>
      <c r="K159"/>
      <c r="L159"/>
      <c r="M159"/>
      <c r="N159"/>
      <c r="O159"/>
      <c r="P159"/>
    </row>
    <row r="160" spans="1:16" ht="12" customHeight="1" x14ac:dyDescent="0.2">
      <c r="A160"/>
      <c r="B160"/>
      <c r="C160"/>
      <c r="H160"/>
      <c r="I160"/>
      <c r="J160"/>
      <c r="K160"/>
      <c r="L160"/>
      <c r="M160"/>
      <c r="N160"/>
      <c r="O160"/>
      <c r="P160"/>
    </row>
    <row r="161" spans="1:16" ht="12" customHeight="1" x14ac:dyDescent="0.2">
      <c r="A161"/>
      <c r="B161"/>
      <c r="C161"/>
      <c r="H161"/>
      <c r="I161"/>
      <c r="J161"/>
      <c r="K161"/>
      <c r="L161"/>
      <c r="M161"/>
      <c r="N161"/>
      <c r="O161"/>
      <c r="P161"/>
    </row>
    <row r="162" spans="1:16" ht="12" customHeight="1" x14ac:dyDescent="0.2">
      <c r="A162"/>
      <c r="B162"/>
      <c r="C162"/>
      <c r="H162"/>
      <c r="I162"/>
      <c r="J162"/>
      <c r="K162"/>
      <c r="L162"/>
      <c r="M162"/>
      <c r="N162"/>
      <c r="O162"/>
      <c r="P162"/>
    </row>
    <row r="163" spans="1:16" ht="12" customHeight="1" x14ac:dyDescent="0.2">
      <c r="A163"/>
      <c r="B163"/>
      <c r="C163"/>
      <c r="H163"/>
      <c r="I163"/>
      <c r="J163"/>
      <c r="K163"/>
      <c r="L163"/>
      <c r="M163"/>
      <c r="N163"/>
      <c r="O163"/>
      <c r="P163"/>
    </row>
    <row r="164" spans="1:16" ht="12" customHeight="1" x14ac:dyDescent="0.2">
      <c r="A164"/>
      <c r="B164"/>
      <c r="C164"/>
      <c r="H164"/>
      <c r="I164"/>
      <c r="J164"/>
      <c r="K164"/>
      <c r="L164"/>
      <c r="M164"/>
      <c r="N164"/>
      <c r="O164"/>
      <c r="P164"/>
    </row>
    <row r="165" spans="1:16" ht="12" customHeight="1" x14ac:dyDescent="0.2">
      <c r="A165"/>
      <c r="B165"/>
      <c r="C165"/>
      <c r="H165"/>
      <c r="I165"/>
      <c r="J165"/>
      <c r="K165"/>
      <c r="L165"/>
      <c r="M165"/>
      <c r="N165"/>
      <c r="O165"/>
      <c r="P165"/>
    </row>
    <row r="166" spans="1:16" ht="12" customHeight="1" x14ac:dyDescent="0.2">
      <c r="A166"/>
      <c r="B166"/>
      <c r="C166"/>
      <c r="H166"/>
      <c r="I166"/>
      <c r="J166"/>
      <c r="K166"/>
      <c r="L166"/>
      <c r="M166"/>
      <c r="N166"/>
      <c r="O166"/>
      <c r="P166"/>
    </row>
    <row r="167" spans="1:16" ht="12" customHeight="1" x14ac:dyDescent="0.2">
      <c r="A167"/>
      <c r="B167"/>
      <c r="C167"/>
      <c r="H167"/>
      <c r="I167"/>
      <c r="J167"/>
      <c r="K167"/>
      <c r="L167"/>
      <c r="M167"/>
      <c r="N167"/>
      <c r="O167"/>
      <c r="P167"/>
    </row>
    <row r="168" spans="1:16" ht="12" customHeight="1" x14ac:dyDescent="0.2">
      <c r="A168"/>
      <c r="B168"/>
      <c r="C168"/>
      <c r="H168"/>
      <c r="I168"/>
      <c r="J168"/>
      <c r="K168"/>
      <c r="L168"/>
      <c r="M168"/>
      <c r="N168"/>
      <c r="O168"/>
      <c r="P168"/>
    </row>
    <row r="169" spans="1:16" ht="12" customHeight="1" x14ac:dyDescent="0.2">
      <c r="A169"/>
      <c r="B169"/>
      <c r="C169"/>
      <c r="H169"/>
      <c r="I169"/>
      <c r="J169"/>
      <c r="K169"/>
      <c r="L169"/>
      <c r="M169"/>
      <c r="N169"/>
      <c r="O169"/>
      <c r="P169"/>
    </row>
    <row r="170" spans="1:16" ht="15" customHeight="1" x14ac:dyDescent="0.2">
      <c r="A170"/>
      <c r="B170"/>
      <c r="C170"/>
      <c r="H170"/>
      <c r="I170"/>
      <c r="J170"/>
      <c r="K170"/>
      <c r="L170"/>
      <c r="M170"/>
      <c r="N170"/>
      <c r="O170"/>
      <c r="P170"/>
    </row>
    <row r="171" spans="1:16" ht="15" customHeight="1" x14ac:dyDescent="0.2">
      <c r="A171"/>
      <c r="B171"/>
      <c r="C171"/>
      <c r="H171"/>
      <c r="I171"/>
      <c r="J171"/>
      <c r="K171"/>
      <c r="L171"/>
      <c r="M171"/>
      <c r="N171"/>
      <c r="O171"/>
      <c r="P171"/>
    </row>
    <row r="172" spans="1:16" ht="15" customHeight="1" x14ac:dyDescent="0.2">
      <c r="A172"/>
      <c r="B172"/>
      <c r="C172"/>
      <c r="H172"/>
      <c r="I172"/>
      <c r="J172"/>
      <c r="K172"/>
      <c r="L172"/>
      <c r="M172"/>
      <c r="N172"/>
      <c r="O172"/>
      <c r="P172"/>
    </row>
    <row r="173" spans="1:16" ht="15" customHeight="1" x14ac:dyDescent="0.2">
      <c r="A173"/>
      <c r="B173"/>
      <c r="C173"/>
      <c r="H173"/>
      <c r="I173"/>
      <c r="J173"/>
      <c r="K173"/>
      <c r="L173"/>
      <c r="M173"/>
      <c r="N173"/>
      <c r="O173"/>
      <c r="P173"/>
    </row>
    <row r="174" spans="1:16" ht="15" customHeight="1" x14ac:dyDescent="0.2">
      <c r="A174"/>
      <c r="B174"/>
      <c r="C174"/>
      <c r="H174"/>
      <c r="I174"/>
      <c r="J174"/>
      <c r="K174"/>
      <c r="L174"/>
      <c r="M174"/>
      <c r="N174"/>
      <c r="O174"/>
      <c r="P174"/>
    </row>
    <row r="175" spans="1:16" ht="15" customHeight="1" x14ac:dyDescent="0.2">
      <c r="A175"/>
      <c r="B175"/>
      <c r="C175"/>
      <c r="H175"/>
      <c r="I175"/>
      <c r="J175"/>
      <c r="K175"/>
      <c r="L175"/>
      <c r="M175"/>
      <c r="N175"/>
      <c r="O175"/>
      <c r="P175"/>
    </row>
    <row r="176" spans="1:16" ht="15" customHeight="1" x14ac:dyDescent="0.2">
      <c r="A176"/>
      <c r="B176"/>
      <c r="C176"/>
      <c r="H176"/>
      <c r="I176"/>
      <c r="J176"/>
      <c r="K176"/>
      <c r="L176"/>
      <c r="M176"/>
      <c r="N176"/>
      <c r="O176"/>
      <c r="P176"/>
    </row>
    <row r="177" spans="1:16" ht="15" customHeight="1" x14ac:dyDescent="0.2">
      <c r="A177"/>
      <c r="B177"/>
      <c r="C177"/>
      <c r="H177"/>
      <c r="I177"/>
      <c r="J177"/>
      <c r="K177"/>
      <c r="L177"/>
      <c r="M177"/>
      <c r="N177"/>
      <c r="O177"/>
      <c r="P177"/>
    </row>
    <row r="178" spans="1:16" ht="15" customHeight="1" x14ac:dyDescent="0.2">
      <c r="A178"/>
      <c r="B178"/>
      <c r="C178"/>
      <c r="H178"/>
      <c r="I178"/>
      <c r="J178"/>
      <c r="K178"/>
      <c r="L178"/>
      <c r="M178"/>
      <c r="N178"/>
      <c r="O178"/>
      <c r="P178"/>
    </row>
    <row r="179" spans="1:16" ht="15" customHeight="1" x14ac:dyDescent="0.2">
      <c r="A179"/>
      <c r="B179"/>
      <c r="C179"/>
      <c r="H179"/>
      <c r="I179"/>
      <c r="J179"/>
      <c r="K179"/>
      <c r="L179"/>
      <c r="M179"/>
      <c r="N179"/>
      <c r="O179"/>
      <c r="P179"/>
    </row>
    <row r="180" spans="1:16" ht="15" customHeight="1" x14ac:dyDescent="0.2">
      <c r="A180"/>
      <c r="B180"/>
      <c r="C180"/>
      <c r="H180"/>
      <c r="I180"/>
      <c r="J180"/>
      <c r="K180"/>
      <c r="L180"/>
      <c r="M180"/>
      <c r="N180"/>
      <c r="O180"/>
      <c r="P180"/>
    </row>
    <row r="181" spans="1:16" ht="15" customHeight="1" x14ac:dyDescent="0.2">
      <c r="A181"/>
      <c r="B181"/>
      <c r="C181"/>
      <c r="H181"/>
      <c r="I181"/>
      <c r="J181"/>
      <c r="K181"/>
      <c r="L181"/>
      <c r="M181"/>
      <c r="N181"/>
      <c r="O181"/>
      <c r="P181"/>
    </row>
    <row r="182" spans="1:16" ht="15" customHeight="1" x14ac:dyDescent="0.2">
      <c r="A182"/>
      <c r="B182"/>
      <c r="C182"/>
      <c r="H182"/>
      <c r="I182"/>
      <c r="J182"/>
      <c r="K182"/>
      <c r="L182"/>
      <c r="M182"/>
      <c r="N182"/>
      <c r="O182"/>
      <c r="P182"/>
    </row>
    <row r="183" spans="1:16" ht="15" customHeight="1" x14ac:dyDescent="0.2">
      <c r="A183"/>
      <c r="B183"/>
      <c r="C183"/>
      <c r="H183"/>
      <c r="I183"/>
      <c r="J183"/>
      <c r="K183"/>
      <c r="L183"/>
      <c r="M183"/>
      <c r="N183"/>
      <c r="O183"/>
      <c r="P183"/>
    </row>
    <row r="184" spans="1:16" ht="15" customHeight="1" x14ac:dyDescent="0.2">
      <c r="A184"/>
      <c r="B184"/>
      <c r="C184"/>
      <c r="H184"/>
      <c r="I184"/>
      <c r="J184"/>
      <c r="K184"/>
      <c r="L184"/>
      <c r="M184"/>
      <c r="N184"/>
      <c r="O184"/>
      <c r="P184"/>
    </row>
    <row r="185" spans="1:16" ht="15" customHeight="1" x14ac:dyDescent="0.2">
      <c r="A185"/>
      <c r="B185"/>
      <c r="C185"/>
      <c r="H185"/>
      <c r="I185"/>
      <c r="J185"/>
      <c r="K185"/>
      <c r="L185"/>
      <c r="M185"/>
      <c r="N185"/>
      <c r="O185"/>
      <c r="P185"/>
    </row>
    <row r="186" spans="1:16" ht="15" customHeight="1" x14ac:dyDescent="0.2">
      <c r="A186"/>
      <c r="B186"/>
      <c r="C186"/>
      <c r="H186"/>
      <c r="I186"/>
      <c r="J186"/>
      <c r="K186"/>
      <c r="L186"/>
      <c r="M186"/>
      <c r="N186"/>
      <c r="O186"/>
      <c r="P186"/>
    </row>
    <row r="187" spans="1:16" ht="15" customHeight="1" x14ac:dyDescent="0.2">
      <c r="A187"/>
      <c r="B187"/>
      <c r="C187"/>
      <c r="H187"/>
      <c r="I187"/>
      <c r="J187"/>
      <c r="K187"/>
      <c r="L187"/>
      <c r="M187"/>
      <c r="N187"/>
      <c r="O187"/>
      <c r="P187"/>
    </row>
    <row r="188" spans="1:16" ht="15" customHeight="1" x14ac:dyDescent="0.2">
      <c r="A188"/>
      <c r="B188"/>
      <c r="C188"/>
      <c r="H188"/>
      <c r="I188"/>
      <c r="J188"/>
      <c r="K188"/>
      <c r="L188"/>
      <c r="M188"/>
      <c r="N188"/>
      <c r="O188"/>
      <c r="P188"/>
    </row>
    <row r="189" spans="1:16" ht="15" customHeight="1" x14ac:dyDescent="0.2">
      <c r="A189"/>
      <c r="B189"/>
      <c r="C189"/>
      <c r="H189"/>
      <c r="I189"/>
      <c r="J189"/>
      <c r="K189"/>
      <c r="L189"/>
      <c r="M189"/>
      <c r="N189"/>
      <c r="O189"/>
      <c r="P189"/>
    </row>
    <row r="190" spans="1:16" ht="15" customHeight="1" x14ac:dyDescent="0.2">
      <c r="A190"/>
      <c r="B190"/>
      <c r="C190"/>
      <c r="H190"/>
      <c r="I190"/>
      <c r="J190"/>
      <c r="K190"/>
      <c r="L190"/>
      <c r="M190"/>
      <c r="N190"/>
      <c r="O190"/>
      <c r="P190"/>
    </row>
    <row r="191" spans="1:16" ht="15" customHeight="1" x14ac:dyDescent="0.2">
      <c r="A191"/>
      <c r="B191"/>
      <c r="C191"/>
      <c r="H191"/>
      <c r="I191"/>
      <c r="J191"/>
      <c r="K191"/>
      <c r="L191"/>
      <c r="M191"/>
      <c r="N191"/>
      <c r="O191"/>
      <c r="P191"/>
    </row>
    <row r="192" spans="1:16" ht="15" customHeight="1" x14ac:dyDescent="0.2">
      <c r="A192"/>
      <c r="B192"/>
      <c r="C192"/>
      <c r="H192"/>
      <c r="I192"/>
      <c r="J192"/>
      <c r="K192"/>
      <c r="L192"/>
      <c r="M192"/>
      <c r="N192"/>
      <c r="O192"/>
      <c r="P192"/>
    </row>
    <row r="193" spans="1:16" ht="15" customHeight="1" x14ac:dyDescent="0.2">
      <c r="A193"/>
      <c r="B193"/>
      <c r="C193"/>
      <c r="H193"/>
      <c r="I193"/>
      <c r="J193"/>
      <c r="K193"/>
      <c r="L193"/>
      <c r="M193"/>
      <c r="N193"/>
      <c r="O193"/>
      <c r="P193"/>
    </row>
    <row r="194" spans="1:16" ht="15" customHeight="1" x14ac:dyDescent="0.2">
      <c r="A194"/>
      <c r="B194"/>
      <c r="C194"/>
      <c r="H194"/>
      <c r="I194"/>
      <c r="J194"/>
      <c r="K194"/>
      <c r="L194"/>
      <c r="M194"/>
      <c r="N194"/>
      <c r="O194"/>
      <c r="P194"/>
    </row>
    <row r="195" spans="1:16" ht="15" customHeight="1" x14ac:dyDescent="0.2">
      <c r="A195"/>
      <c r="B195"/>
      <c r="C195"/>
      <c r="H195"/>
      <c r="I195"/>
      <c r="J195"/>
      <c r="K195"/>
      <c r="L195"/>
      <c r="M195"/>
      <c r="N195"/>
      <c r="O195"/>
      <c r="P195"/>
    </row>
    <row r="196" spans="1:16" ht="15" customHeight="1" x14ac:dyDescent="0.2">
      <c r="A196"/>
      <c r="B196"/>
      <c r="C196"/>
      <c r="H196"/>
      <c r="I196"/>
      <c r="J196"/>
      <c r="K196"/>
      <c r="L196"/>
      <c r="M196"/>
      <c r="N196"/>
      <c r="O196"/>
      <c r="P196"/>
    </row>
    <row r="197" spans="1:16" ht="15" customHeight="1" x14ac:dyDescent="0.2">
      <c r="A197"/>
      <c r="B197"/>
      <c r="C197"/>
      <c r="H197"/>
      <c r="I197"/>
      <c r="J197"/>
      <c r="K197"/>
      <c r="L197"/>
      <c r="M197"/>
      <c r="N197"/>
      <c r="O197"/>
      <c r="P197"/>
    </row>
    <row r="198" spans="1:16" ht="15" customHeight="1" x14ac:dyDescent="0.2">
      <c r="A198"/>
      <c r="B198"/>
      <c r="C198"/>
      <c r="H198"/>
      <c r="I198"/>
      <c r="J198"/>
      <c r="K198"/>
      <c r="L198"/>
      <c r="M198"/>
      <c r="N198"/>
      <c r="O198"/>
      <c r="P198"/>
    </row>
    <row r="199" spans="1:16" ht="11.25" customHeight="1" x14ac:dyDescent="0.2">
      <c r="A199"/>
      <c r="B199"/>
      <c r="C199"/>
      <c r="H199"/>
      <c r="I199"/>
      <c r="J199"/>
      <c r="K199"/>
      <c r="L199"/>
      <c r="M199"/>
      <c r="N199"/>
      <c r="O199"/>
      <c r="P199"/>
    </row>
    <row r="200" spans="1:16" ht="27.75" customHeight="1" x14ac:dyDescent="0.2">
      <c r="A200"/>
      <c r="B200"/>
      <c r="C200"/>
      <c r="H200"/>
      <c r="I200"/>
      <c r="J200"/>
      <c r="K200"/>
      <c r="L200"/>
      <c r="M200"/>
      <c r="N200"/>
      <c r="O200"/>
      <c r="P200"/>
    </row>
    <row r="201" spans="1:16" ht="19.5" customHeight="1" x14ac:dyDescent="0.2">
      <c r="A201"/>
      <c r="B201"/>
      <c r="C201"/>
      <c r="H201"/>
      <c r="I201"/>
      <c r="J201"/>
      <c r="K201"/>
      <c r="L201"/>
      <c r="M201"/>
      <c r="N201"/>
      <c r="O201"/>
      <c r="P201"/>
    </row>
    <row r="202" spans="1:16" ht="42.75" customHeight="1" x14ac:dyDescent="0.2">
      <c r="A202"/>
      <c r="B202"/>
      <c r="C202"/>
      <c r="H202"/>
      <c r="I202"/>
      <c r="J202"/>
      <c r="K202"/>
      <c r="L202"/>
      <c r="M202"/>
      <c r="N202"/>
      <c r="O202"/>
      <c r="P202"/>
    </row>
    <row r="203" spans="1:16" ht="26.25" customHeight="1" x14ac:dyDescent="0.2">
      <c r="A203"/>
      <c r="B203"/>
      <c r="C203"/>
      <c r="H203"/>
      <c r="I203"/>
      <c r="J203"/>
      <c r="K203"/>
      <c r="L203"/>
      <c r="M203"/>
      <c r="N203"/>
      <c r="O203"/>
      <c r="P203"/>
    </row>
    <row r="204" spans="1:16" x14ac:dyDescent="0.2">
      <c r="A204"/>
      <c r="B204"/>
      <c r="C204"/>
      <c r="H204"/>
      <c r="I204"/>
      <c r="J204"/>
      <c r="K204"/>
      <c r="L204"/>
      <c r="M204"/>
      <c r="N204"/>
      <c r="O204"/>
      <c r="P204"/>
    </row>
    <row r="205" spans="1:16" ht="15" customHeight="1" x14ac:dyDescent="0.2">
      <c r="A205"/>
      <c r="B205"/>
      <c r="C205"/>
      <c r="H205"/>
      <c r="I205"/>
      <c r="J205"/>
      <c r="K205"/>
      <c r="L205"/>
      <c r="M205"/>
      <c r="N205"/>
      <c r="O205"/>
      <c r="P205"/>
    </row>
    <row r="206" spans="1:16" ht="15" customHeight="1" x14ac:dyDescent="0.2">
      <c r="A206"/>
      <c r="B206"/>
      <c r="C206"/>
      <c r="H206"/>
      <c r="I206"/>
      <c r="J206"/>
      <c r="K206"/>
      <c r="L206"/>
      <c r="M206"/>
      <c r="N206"/>
      <c r="O206"/>
      <c r="P206"/>
    </row>
    <row r="207" spans="1:16" x14ac:dyDescent="0.2">
      <c r="A207"/>
      <c r="B207"/>
      <c r="C207"/>
      <c r="H207"/>
      <c r="I207"/>
      <c r="J207"/>
      <c r="K207"/>
      <c r="L207"/>
      <c r="M207"/>
      <c r="N207"/>
      <c r="O207"/>
      <c r="P207"/>
    </row>
    <row r="208" spans="1:16" ht="12" customHeight="1" x14ac:dyDescent="0.2">
      <c r="A208"/>
      <c r="B208"/>
      <c r="C208"/>
      <c r="H208"/>
      <c r="I208"/>
      <c r="J208"/>
      <c r="K208"/>
      <c r="L208"/>
      <c r="M208"/>
      <c r="N208"/>
      <c r="O208"/>
      <c r="P208"/>
    </row>
    <row r="209" spans="1:16" ht="12" customHeight="1" x14ac:dyDescent="0.2">
      <c r="A209"/>
      <c r="B209"/>
      <c r="C209"/>
      <c r="H209"/>
      <c r="I209"/>
      <c r="J209"/>
      <c r="K209"/>
      <c r="L209"/>
      <c r="M209"/>
      <c r="N209"/>
      <c r="O209"/>
      <c r="P209"/>
    </row>
    <row r="210" spans="1:16" ht="12" customHeight="1" x14ac:dyDescent="0.2">
      <c r="A210"/>
      <c r="B210"/>
      <c r="C210"/>
      <c r="H210"/>
      <c r="I210"/>
      <c r="J210"/>
      <c r="K210"/>
      <c r="L210"/>
      <c r="M210"/>
      <c r="N210"/>
      <c r="O210"/>
      <c r="P210"/>
    </row>
    <row r="211" spans="1:16" ht="12" customHeight="1" x14ac:dyDescent="0.2">
      <c r="A211"/>
      <c r="B211"/>
      <c r="C211"/>
      <c r="H211"/>
      <c r="I211"/>
      <c r="J211"/>
      <c r="K211"/>
      <c r="L211"/>
      <c r="M211"/>
      <c r="N211"/>
      <c r="O211"/>
      <c r="P211"/>
    </row>
    <row r="212" spans="1:16" ht="12" customHeight="1" x14ac:dyDescent="0.2">
      <c r="A212"/>
      <c r="B212"/>
      <c r="C212"/>
      <c r="H212"/>
      <c r="I212"/>
      <c r="J212"/>
      <c r="K212"/>
      <c r="L212"/>
      <c r="M212"/>
      <c r="N212"/>
      <c r="O212"/>
      <c r="P212"/>
    </row>
    <row r="213" spans="1:16" ht="12" customHeight="1" x14ac:dyDescent="0.2">
      <c r="A213"/>
      <c r="B213"/>
      <c r="C213"/>
      <c r="H213"/>
      <c r="I213"/>
      <c r="J213"/>
      <c r="K213"/>
      <c r="L213"/>
      <c r="M213"/>
      <c r="N213"/>
      <c r="O213"/>
      <c r="P213"/>
    </row>
    <row r="214" spans="1:16" ht="15" customHeight="1" x14ac:dyDescent="0.2">
      <c r="A214"/>
      <c r="B214"/>
      <c r="C214"/>
      <c r="H214"/>
      <c r="I214"/>
      <c r="J214"/>
      <c r="K214"/>
      <c r="L214"/>
      <c r="M214"/>
      <c r="N214"/>
      <c r="O214"/>
      <c r="P214"/>
    </row>
    <row r="215" spans="1:16" x14ac:dyDescent="0.2">
      <c r="A215"/>
      <c r="B215"/>
      <c r="C215"/>
      <c r="H215"/>
      <c r="I215"/>
      <c r="J215"/>
      <c r="K215"/>
      <c r="L215"/>
      <c r="M215"/>
      <c r="N215"/>
      <c r="O215"/>
      <c r="P215"/>
    </row>
    <row r="216" spans="1:16" ht="12" customHeight="1" x14ac:dyDescent="0.2">
      <c r="A216"/>
      <c r="B216"/>
      <c r="C216"/>
      <c r="H216"/>
      <c r="I216"/>
      <c r="J216"/>
      <c r="K216"/>
      <c r="L216"/>
      <c r="M216"/>
      <c r="N216"/>
      <c r="O216"/>
      <c r="P216"/>
    </row>
    <row r="217" spans="1:16" ht="12" customHeight="1" x14ac:dyDescent="0.2">
      <c r="A217"/>
      <c r="B217"/>
      <c r="C217"/>
      <c r="H217"/>
      <c r="I217"/>
      <c r="J217"/>
      <c r="K217"/>
      <c r="L217"/>
      <c r="M217"/>
      <c r="N217"/>
      <c r="O217"/>
      <c r="P217"/>
    </row>
    <row r="218" spans="1:16" ht="12" customHeight="1" x14ac:dyDescent="0.2">
      <c r="A218"/>
      <c r="B218"/>
      <c r="C218"/>
      <c r="H218"/>
      <c r="I218"/>
      <c r="J218"/>
      <c r="K218"/>
      <c r="L218"/>
      <c r="M218"/>
      <c r="N218"/>
      <c r="O218"/>
      <c r="P218"/>
    </row>
    <row r="219" spans="1:16" ht="12" customHeight="1" x14ac:dyDescent="0.2">
      <c r="A219"/>
      <c r="B219"/>
      <c r="C219"/>
      <c r="H219"/>
      <c r="I219"/>
      <c r="J219"/>
      <c r="K219"/>
      <c r="L219"/>
      <c r="M219"/>
      <c r="N219"/>
      <c r="O219"/>
      <c r="P219"/>
    </row>
    <row r="220" spans="1:16" ht="12" customHeight="1" x14ac:dyDescent="0.2">
      <c r="A220"/>
      <c r="B220"/>
      <c r="C220"/>
      <c r="H220"/>
      <c r="I220"/>
      <c r="J220"/>
      <c r="K220"/>
      <c r="L220"/>
      <c r="M220"/>
      <c r="N220"/>
      <c r="O220"/>
      <c r="P220"/>
    </row>
    <row r="221" spans="1:16" ht="12" customHeight="1" x14ac:dyDescent="0.2">
      <c r="A221"/>
      <c r="B221"/>
      <c r="C221"/>
      <c r="H221"/>
      <c r="I221"/>
      <c r="J221"/>
      <c r="K221"/>
      <c r="L221"/>
      <c r="M221"/>
      <c r="N221"/>
      <c r="O221"/>
      <c r="P221"/>
    </row>
    <row r="222" spans="1:16" ht="12" customHeight="1" x14ac:dyDescent="0.2">
      <c r="A222"/>
      <c r="B222"/>
      <c r="C222"/>
      <c r="H222"/>
      <c r="I222"/>
      <c r="J222"/>
      <c r="K222"/>
      <c r="L222"/>
      <c r="M222"/>
      <c r="N222"/>
      <c r="O222"/>
      <c r="P222"/>
    </row>
    <row r="223" spans="1:16" x14ac:dyDescent="0.2">
      <c r="A223"/>
      <c r="B223"/>
      <c r="C223"/>
      <c r="H223"/>
      <c r="I223"/>
      <c r="J223"/>
      <c r="K223"/>
      <c r="L223"/>
      <c r="M223"/>
      <c r="N223"/>
      <c r="O223"/>
      <c r="P223"/>
    </row>
    <row r="224" spans="1:16" x14ac:dyDescent="0.2">
      <c r="A224"/>
      <c r="B224"/>
      <c r="C224"/>
      <c r="H224"/>
      <c r="I224"/>
      <c r="J224"/>
      <c r="K224"/>
      <c r="L224"/>
      <c r="M224"/>
      <c r="N224"/>
      <c r="O224"/>
      <c r="P224"/>
    </row>
    <row r="225" spans="1:16" x14ac:dyDescent="0.2">
      <c r="A225"/>
      <c r="B225"/>
      <c r="C225"/>
      <c r="H225"/>
      <c r="I225"/>
      <c r="J225"/>
      <c r="K225"/>
      <c r="L225"/>
      <c r="M225"/>
      <c r="N225"/>
      <c r="O225"/>
      <c r="P225"/>
    </row>
    <row r="226" spans="1:16" ht="12" customHeight="1" x14ac:dyDescent="0.2">
      <c r="A226"/>
      <c r="B226"/>
      <c r="C226"/>
      <c r="H226"/>
      <c r="I226"/>
      <c r="J226"/>
      <c r="K226"/>
      <c r="L226"/>
      <c r="M226"/>
      <c r="N226"/>
      <c r="O226"/>
      <c r="P226"/>
    </row>
    <row r="227" spans="1:16" ht="12" customHeight="1" x14ac:dyDescent="0.2">
      <c r="A227"/>
      <c r="B227"/>
      <c r="C227"/>
      <c r="H227"/>
      <c r="I227"/>
      <c r="J227"/>
      <c r="K227"/>
      <c r="L227"/>
      <c r="M227"/>
      <c r="N227"/>
      <c r="O227"/>
      <c r="P227"/>
    </row>
    <row r="228" spans="1:16" ht="12" customHeight="1" x14ac:dyDescent="0.2">
      <c r="A228"/>
      <c r="B228"/>
      <c r="C228"/>
      <c r="H228"/>
      <c r="I228"/>
      <c r="J228"/>
      <c r="K228"/>
      <c r="L228"/>
      <c r="M228"/>
      <c r="N228"/>
      <c r="O228"/>
      <c r="P228"/>
    </row>
    <row r="229" spans="1:16" ht="12" customHeight="1" x14ac:dyDescent="0.2">
      <c r="A229"/>
      <c r="B229"/>
      <c r="C229"/>
      <c r="H229"/>
      <c r="I229"/>
      <c r="J229"/>
      <c r="K229"/>
      <c r="L229"/>
      <c r="M229"/>
      <c r="N229"/>
      <c r="O229"/>
      <c r="P229"/>
    </row>
    <row r="230" spans="1:16" ht="12" customHeight="1" x14ac:dyDescent="0.2">
      <c r="A230"/>
      <c r="B230"/>
      <c r="C230"/>
      <c r="H230"/>
      <c r="I230"/>
      <c r="J230"/>
      <c r="K230"/>
      <c r="L230"/>
      <c r="M230"/>
      <c r="N230"/>
      <c r="O230"/>
      <c r="P230"/>
    </row>
    <row r="231" spans="1:16" x14ac:dyDescent="0.2">
      <c r="A231"/>
      <c r="B231"/>
      <c r="C231"/>
      <c r="H231"/>
      <c r="I231"/>
      <c r="J231"/>
      <c r="K231"/>
      <c r="L231"/>
      <c r="M231"/>
      <c r="N231"/>
      <c r="O231"/>
      <c r="P231"/>
    </row>
    <row r="232" spans="1:16" x14ac:dyDescent="0.2">
      <c r="A232"/>
      <c r="B232"/>
      <c r="C232"/>
      <c r="H232"/>
      <c r="I232"/>
      <c r="J232"/>
      <c r="K232"/>
      <c r="L232"/>
      <c r="M232"/>
      <c r="N232"/>
      <c r="O232"/>
      <c r="P232"/>
    </row>
    <row r="233" spans="1:16" ht="12" customHeight="1" x14ac:dyDescent="0.2">
      <c r="A233"/>
      <c r="B233"/>
      <c r="C233"/>
      <c r="H233"/>
      <c r="I233"/>
      <c r="J233"/>
      <c r="K233"/>
      <c r="L233"/>
      <c r="M233"/>
      <c r="N233"/>
      <c r="O233"/>
      <c r="P233"/>
    </row>
    <row r="234" spans="1:16" ht="12" customHeight="1" x14ac:dyDescent="0.2">
      <c r="A234"/>
      <c r="B234"/>
      <c r="C234"/>
      <c r="H234"/>
      <c r="I234"/>
      <c r="J234"/>
      <c r="K234"/>
      <c r="L234"/>
      <c r="M234"/>
      <c r="N234"/>
      <c r="O234"/>
      <c r="P234"/>
    </row>
    <row r="235" spans="1:16" ht="12" customHeight="1" x14ac:dyDescent="0.2">
      <c r="A235"/>
      <c r="B235"/>
      <c r="C235"/>
      <c r="H235"/>
      <c r="I235"/>
      <c r="J235"/>
      <c r="K235"/>
      <c r="L235"/>
      <c r="M235"/>
      <c r="N235"/>
      <c r="O235"/>
      <c r="P235"/>
    </row>
    <row r="236" spans="1:16" ht="12" customHeight="1" x14ac:dyDescent="0.2">
      <c r="A236"/>
      <c r="B236"/>
      <c r="C236"/>
      <c r="H236"/>
      <c r="I236"/>
      <c r="J236"/>
      <c r="K236"/>
      <c r="L236"/>
      <c r="M236"/>
      <c r="N236"/>
      <c r="O236"/>
      <c r="P236"/>
    </row>
    <row r="237" spans="1:16" ht="12" customHeight="1" x14ac:dyDescent="0.2">
      <c r="A237"/>
      <c r="B237"/>
      <c r="C237"/>
      <c r="H237"/>
      <c r="I237"/>
      <c r="J237"/>
      <c r="K237"/>
      <c r="L237"/>
      <c r="M237"/>
      <c r="N237"/>
      <c r="O237"/>
      <c r="P237"/>
    </row>
    <row r="238" spans="1:16" ht="12" customHeight="1" x14ac:dyDescent="0.2">
      <c r="A238"/>
      <c r="B238"/>
      <c r="C238"/>
      <c r="H238"/>
      <c r="I238"/>
      <c r="J238"/>
      <c r="K238"/>
      <c r="L238"/>
      <c r="M238"/>
      <c r="N238"/>
      <c r="O238"/>
      <c r="P238"/>
    </row>
    <row r="239" spans="1:16" x14ac:dyDescent="0.2">
      <c r="A239"/>
      <c r="B239"/>
      <c r="C239"/>
      <c r="H239"/>
      <c r="I239"/>
      <c r="J239"/>
      <c r="K239"/>
      <c r="L239"/>
      <c r="M239"/>
      <c r="N239"/>
      <c r="O239"/>
      <c r="P239"/>
    </row>
    <row r="240" spans="1:16" x14ac:dyDescent="0.2">
      <c r="A240"/>
      <c r="B240"/>
      <c r="C240"/>
      <c r="H240"/>
      <c r="I240"/>
      <c r="J240"/>
      <c r="K240"/>
      <c r="L240"/>
      <c r="M240"/>
      <c r="N240"/>
      <c r="O240"/>
      <c r="P240"/>
    </row>
    <row r="241" spans="1:16" x14ac:dyDescent="0.2">
      <c r="A241"/>
      <c r="B241"/>
      <c r="C241"/>
      <c r="H241"/>
      <c r="I241"/>
      <c r="J241"/>
      <c r="K241"/>
      <c r="L241"/>
      <c r="M241"/>
      <c r="N241"/>
      <c r="O241"/>
      <c r="P241"/>
    </row>
    <row r="242" spans="1:16" ht="12" customHeight="1" x14ac:dyDescent="0.2">
      <c r="A242"/>
      <c r="B242"/>
      <c r="C242"/>
      <c r="H242"/>
      <c r="I242"/>
      <c r="J242"/>
      <c r="K242"/>
      <c r="L242"/>
      <c r="M242"/>
      <c r="N242"/>
      <c r="O242"/>
      <c r="P242"/>
    </row>
    <row r="243" spans="1:16" ht="12" customHeight="1" x14ac:dyDescent="0.2">
      <c r="A243"/>
      <c r="B243"/>
      <c r="C243"/>
      <c r="H243"/>
      <c r="I243"/>
      <c r="J243"/>
      <c r="K243"/>
      <c r="L243"/>
      <c r="M243"/>
      <c r="N243"/>
      <c r="O243"/>
      <c r="P243"/>
    </row>
    <row r="244" spans="1:16" ht="12" customHeight="1" x14ac:dyDescent="0.2">
      <c r="A244"/>
      <c r="B244"/>
      <c r="C244"/>
      <c r="H244"/>
      <c r="I244"/>
      <c r="J244"/>
      <c r="K244"/>
      <c r="L244"/>
      <c r="M244"/>
      <c r="N244"/>
      <c r="O244"/>
      <c r="P244"/>
    </row>
    <row r="245" spans="1:16" ht="12" customHeight="1" x14ac:dyDescent="0.2">
      <c r="A245"/>
      <c r="B245"/>
      <c r="C245"/>
      <c r="H245"/>
      <c r="I245"/>
      <c r="J245"/>
      <c r="K245"/>
      <c r="L245"/>
      <c r="M245"/>
      <c r="N245"/>
      <c r="O245"/>
      <c r="P245"/>
    </row>
    <row r="246" spans="1:16" ht="12" customHeight="1" x14ac:dyDescent="0.2">
      <c r="A246"/>
      <c r="B246"/>
      <c r="C246"/>
      <c r="H246"/>
      <c r="I246"/>
      <c r="J246"/>
      <c r="K246"/>
      <c r="L246"/>
      <c r="M246"/>
      <c r="N246"/>
      <c r="O246"/>
      <c r="P246"/>
    </row>
    <row r="247" spans="1:16" x14ac:dyDescent="0.2">
      <c r="A247"/>
      <c r="B247"/>
      <c r="C247"/>
      <c r="H247"/>
      <c r="I247"/>
      <c r="J247"/>
      <c r="K247"/>
      <c r="L247"/>
      <c r="M247"/>
      <c r="N247"/>
      <c r="O247"/>
      <c r="P247"/>
    </row>
    <row r="248" spans="1:16" x14ac:dyDescent="0.2">
      <c r="A248"/>
      <c r="B248"/>
      <c r="C248"/>
      <c r="H248"/>
      <c r="I248"/>
      <c r="J248"/>
      <c r="K248"/>
      <c r="L248"/>
      <c r="M248"/>
      <c r="N248"/>
      <c r="O248"/>
      <c r="P248"/>
    </row>
    <row r="249" spans="1:16" x14ac:dyDescent="0.2">
      <c r="A249"/>
      <c r="B249"/>
      <c r="C249"/>
      <c r="H249"/>
      <c r="I249"/>
      <c r="J249"/>
      <c r="K249"/>
      <c r="L249"/>
      <c r="M249"/>
      <c r="N249"/>
      <c r="O249"/>
      <c r="P249"/>
    </row>
    <row r="250" spans="1:16" ht="12" customHeight="1" x14ac:dyDescent="0.2">
      <c r="A250"/>
      <c r="B250"/>
      <c r="C250"/>
      <c r="H250"/>
      <c r="I250"/>
      <c r="J250"/>
      <c r="K250"/>
      <c r="L250"/>
      <c r="M250"/>
      <c r="N250"/>
      <c r="O250"/>
      <c r="P250"/>
    </row>
    <row r="251" spans="1:16" ht="12" customHeight="1" x14ac:dyDescent="0.2">
      <c r="A251"/>
      <c r="B251"/>
      <c r="C251"/>
      <c r="H251"/>
      <c r="I251"/>
      <c r="J251"/>
      <c r="K251"/>
      <c r="L251"/>
      <c r="M251"/>
      <c r="N251"/>
      <c r="O251"/>
      <c r="P251"/>
    </row>
    <row r="252" spans="1:16" ht="12" customHeight="1" x14ac:dyDescent="0.2">
      <c r="A252"/>
      <c r="B252"/>
      <c r="C252"/>
      <c r="H252"/>
      <c r="I252"/>
      <c r="J252"/>
      <c r="K252"/>
      <c r="L252"/>
      <c r="M252"/>
      <c r="N252"/>
      <c r="O252"/>
      <c r="P252"/>
    </row>
    <row r="253" spans="1:16" ht="12" customHeight="1" x14ac:dyDescent="0.2">
      <c r="A253"/>
      <c r="B253"/>
      <c r="C253"/>
      <c r="H253"/>
      <c r="I253"/>
      <c r="J253"/>
      <c r="K253"/>
      <c r="L253"/>
      <c r="M253"/>
      <c r="N253"/>
      <c r="O253"/>
      <c r="P253"/>
    </row>
    <row r="254" spans="1:16" ht="12" customHeight="1" x14ac:dyDescent="0.2">
      <c r="A254"/>
      <c r="B254"/>
      <c r="C254"/>
      <c r="H254"/>
      <c r="I254"/>
      <c r="J254"/>
      <c r="K254"/>
      <c r="L254"/>
      <c r="M254"/>
      <c r="N254"/>
      <c r="O254"/>
      <c r="P254"/>
    </row>
    <row r="255" spans="1:16" x14ac:dyDescent="0.2">
      <c r="A255"/>
      <c r="B255"/>
      <c r="C255"/>
      <c r="H255"/>
      <c r="I255"/>
      <c r="J255"/>
      <c r="K255"/>
      <c r="L255"/>
      <c r="M255"/>
      <c r="N255"/>
      <c r="O255"/>
      <c r="P255"/>
    </row>
    <row r="256" spans="1:16" x14ac:dyDescent="0.2">
      <c r="A256"/>
      <c r="B256"/>
      <c r="C256"/>
      <c r="H256"/>
      <c r="I256"/>
      <c r="J256"/>
      <c r="K256"/>
      <c r="L256"/>
      <c r="M256"/>
      <c r="N256"/>
      <c r="O256"/>
      <c r="P256"/>
    </row>
    <row r="257" spans="1:16" x14ac:dyDescent="0.2">
      <c r="A257"/>
      <c r="B257"/>
      <c r="C257"/>
      <c r="H257"/>
      <c r="I257"/>
      <c r="J257"/>
      <c r="K257"/>
      <c r="L257"/>
      <c r="M257"/>
      <c r="N257"/>
      <c r="O257"/>
      <c r="P257"/>
    </row>
    <row r="258" spans="1:16" ht="12" customHeight="1" x14ac:dyDescent="0.2">
      <c r="A258"/>
      <c r="B258"/>
      <c r="C258"/>
      <c r="H258"/>
      <c r="I258"/>
      <c r="J258"/>
      <c r="K258"/>
      <c r="L258"/>
      <c r="M258"/>
      <c r="N258"/>
      <c r="O258"/>
      <c r="P258"/>
    </row>
    <row r="259" spans="1:16" ht="12" customHeight="1" x14ac:dyDescent="0.2">
      <c r="A259"/>
      <c r="B259"/>
      <c r="C259"/>
      <c r="H259"/>
      <c r="I259"/>
      <c r="J259"/>
      <c r="K259"/>
      <c r="L259"/>
      <c r="M259"/>
      <c r="N259"/>
      <c r="O259"/>
      <c r="P259"/>
    </row>
    <row r="260" spans="1:16" ht="12" customHeight="1" x14ac:dyDescent="0.2">
      <c r="A260"/>
      <c r="B260"/>
      <c r="C260"/>
      <c r="H260"/>
      <c r="I260"/>
      <c r="J260"/>
      <c r="K260"/>
      <c r="L260"/>
      <c r="M260"/>
      <c r="N260"/>
      <c r="O260"/>
      <c r="P260"/>
    </row>
    <row r="261" spans="1:16" ht="12" customHeight="1" x14ac:dyDescent="0.2">
      <c r="A261"/>
      <c r="B261"/>
      <c r="C261"/>
      <c r="H261"/>
      <c r="I261"/>
      <c r="J261"/>
      <c r="K261"/>
      <c r="L261"/>
      <c r="M261"/>
      <c r="N261"/>
      <c r="O261"/>
      <c r="P261"/>
    </row>
    <row r="262" spans="1:16" ht="12" customHeight="1" x14ac:dyDescent="0.2">
      <c r="A262"/>
      <c r="B262"/>
      <c r="C262"/>
      <c r="H262"/>
      <c r="I262"/>
      <c r="J262"/>
      <c r="K262"/>
      <c r="L262"/>
      <c r="M262"/>
      <c r="N262"/>
      <c r="O262"/>
      <c r="P262"/>
    </row>
    <row r="263" spans="1:16" ht="12" customHeight="1" x14ac:dyDescent="0.2">
      <c r="A263"/>
      <c r="B263"/>
      <c r="C263"/>
      <c r="H263"/>
      <c r="I263"/>
      <c r="J263"/>
      <c r="K263"/>
      <c r="L263"/>
      <c r="M263"/>
      <c r="N263"/>
      <c r="O263"/>
      <c r="P263"/>
    </row>
    <row r="264" spans="1:16" x14ac:dyDescent="0.2">
      <c r="A264"/>
      <c r="B264"/>
      <c r="C264"/>
      <c r="H264"/>
      <c r="I264"/>
      <c r="J264"/>
      <c r="K264"/>
      <c r="L264"/>
      <c r="M264"/>
      <c r="N264"/>
      <c r="O264"/>
      <c r="P264"/>
    </row>
    <row r="265" spans="1:16" x14ac:dyDescent="0.2">
      <c r="A265"/>
      <c r="B265"/>
      <c r="C265"/>
      <c r="H265"/>
      <c r="I265"/>
      <c r="J265"/>
      <c r="K265"/>
      <c r="L265"/>
      <c r="M265"/>
      <c r="N265"/>
      <c r="O265"/>
      <c r="P265"/>
    </row>
    <row r="266" spans="1:16" x14ac:dyDescent="0.2">
      <c r="A266"/>
      <c r="B266"/>
      <c r="C266"/>
      <c r="H266"/>
      <c r="I266"/>
      <c r="J266"/>
      <c r="K266"/>
      <c r="L266"/>
      <c r="M266"/>
      <c r="N266"/>
      <c r="O266"/>
      <c r="P266"/>
    </row>
    <row r="267" spans="1:16" ht="12" customHeight="1" x14ac:dyDescent="0.2">
      <c r="A267"/>
      <c r="B267"/>
      <c r="C267"/>
      <c r="H267"/>
      <c r="I267"/>
      <c r="J267"/>
      <c r="K267"/>
      <c r="L267"/>
      <c r="M267"/>
      <c r="N267"/>
      <c r="O267"/>
      <c r="P267"/>
    </row>
    <row r="268" spans="1:16" ht="12" customHeight="1" x14ac:dyDescent="0.2">
      <c r="A268"/>
      <c r="B268"/>
      <c r="C268"/>
      <c r="H268"/>
      <c r="I268"/>
      <c r="J268"/>
      <c r="K268"/>
      <c r="L268"/>
      <c r="M268"/>
      <c r="N268"/>
      <c r="O268"/>
      <c r="P268"/>
    </row>
    <row r="269" spans="1:16" ht="12" customHeight="1" x14ac:dyDescent="0.2">
      <c r="A269"/>
      <c r="B269"/>
      <c r="C269"/>
      <c r="H269"/>
      <c r="I269"/>
      <c r="J269"/>
      <c r="K269"/>
      <c r="L269"/>
      <c r="M269"/>
      <c r="N269"/>
      <c r="O269"/>
      <c r="P269"/>
    </row>
    <row r="270" spans="1:16" ht="12" customHeight="1" x14ac:dyDescent="0.2">
      <c r="A270"/>
      <c r="B270"/>
      <c r="C270"/>
      <c r="H270"/>
      <c r="I270"/>
      <c r="J270"/>
      <c r="K270"/>
      <c r="L270"/>
      <c r="M270"/>
      <c r="N270"/>
      <c r="O270"/>
      <c r="P270"/>
    </row>
    <row r="271" spans="1:16" ht="12" customHeight="1" x14ac:dyDescent="0.2">
      <c r="A271"/>
      <c r="B271"/>
      <c r="C271"/>
      <c r="H271"/>
      <c r="I271"/>
      <c r="J271"/>
      <c r="K271"/>
      <c r="L271"/>
      <c r="M271"/>
      <c r="N271"/>
      <c r="O271"/>
      <c r="P271"/>
    </row>
    <row r="272" spans="1:16" x14ac:dyDescent="0.2">
      <c r="A272"/>
      <c r="B272"/>
      <c r="C272"/>
      <c r="H272"/>
      <c r="I272"/>
      <c r="J272"/>
      <c r="K272"/>
      <c r="L272"/>
      <c r="M272"/>
      <c r="N272"/>
      <c r="O272"/>
      <c r="P272"/>
    </row>
    <row r="273" spans="1:16" x14ac:dyDescent="0.2">
      <c r="A273"/>
      <c r="B273"/>
      <c r="C273"/>
      <c r="H273"/>
      <c r="I273"/>
      <c r="J273"/>
      <c r="K273"/>
      <c r="L273"/>
      <c r="M273"/>
      <c r="N273"/>
      <c r="O273"/>
      <c r="P273"/>
    </row>
    <row r="274" spans="1:16" x14ac:dyDescent="0.2">
      <c r="A274"/>
      <c r="B274"/>
      <c r="C274"/>
      <c r="H274"/>
      <c r="I274"/>
      <c r="J274"/>
      <c r="K274"/>
      <c r="L274"/>
      <c r="M274"/>
      <c r="N274"/>
      <c r="O274"/>
      <c r="P274"/>
    </row>
    <row r="275" spans="1:16" ht="12" customHeight="1" x14ac:dyDescent="0.2">
      <c r="A275"/>
      <c r="B275"/>
      <c r="C275"/>
      <c r="H275"/>
      <c r="I275"/>
      <c r="J275"/>
      <c r="K275"/>
      <c r="L275"/>
      <c r="M275"/>
      <c r="N275"/>
      <c r="O275"/>
      <c r="P275"/>
    </row>
    <row r="276" spans="1:16" ht="12" customHeight="1" x14ac:dyDescent="0.2">
      <c r="A276"/>
      <c r="B276"/>
      <c r="C276"/>
      <c r="H276"/>
      <c r="I276"/>
      <c r="J276"/>
      <c r="K276"/>
      <c r="L276"/>
      <c r="M276"/>
      <c r="N276"/>
      <c r="O276"/>
      <c r="P276"/>
    </row>
    <row r="277" spans="1:16" ht="12" customHeight="1" x14ac:dyDescent="0.2">
      <c r="A277"/>
      <c r="B277"/>
      <c r="C277"/>
      <c r="H277"/>
      <c r="I277"/>
      <c r="J277"/>
      <c r="K277"/>
      <c r="L277"/>
      <c r="M277"/>
      <c r="N277"/>
      <c r="O277"/>
      <c r="P277"/>
    </row>
    <row r="278" spans="1:16" ht="12" customHeight="1" x14ac:dyDescent="0.2">
      <c r="A278"/>
      <c r="B278"/>
      <c r="C278"/>
      <c r="H278"/>
      <c r="I278"/>
      <c r="J278"/>
      <c r="K278"/>
      <c r="L278"/>
      <c r="M278"/>
      <c r="N278"/>
      <c r="O278"/>
      <c r="P278"/>
    </row>
    <row r="279" spans="1:16" ht="12" customHeight="1" x14ac:dyDescent="0.2">
      <c r="A279"/>
      <c r="B279"/>
      <c r="C279"/>
      <c r="H279"/>
      <c r="I279"/>
      <c r="J279"/>
      <c r="K279"/>
      <c r="L279"/>
      <c r="M279"/>
      <c r="N279"/>
      <c r="O279"/>
      <c r="P279"/>
    </row>
    <row r="280" spans="1:16" ht="12" customHeight="1" x14ac:dyDescent="0.2">
      <c r="A280"/>
      <c r="B280"/>
      <c r="C280"/>
      <c r="H280"/>
      <c r="I280"/>
      <c r="J280"/>
      <c r="K280"/>
      <c r="L280"/>
      <c r="M280"/>
      <c r="N280"/>
      <c r="O280"/>
      <c r="P280"/>
    </row>
    <row r="281" spans="1:16" ht="12" customHeight="1" x14ac:dyDescent="0.2">
      <c r="A281"/>
      <c r="B281"/>
      <c r="C281"/>
      <c r="H281"/>
      <c r="I281"/>
      <c r="J281"/>
      <c r="K281"/>
      <c r="L281"/>
      <c r="M281"/>
      <c r="N281"/>
      <c r="O281"/>
      <c r="P281"/>
    </row>
    <row r="282" spans="1:16" ht="12" customHeight="1" x14ac:dyDescent="0.2">
      <c r="A282"/>
      <c r="B282"/>
      <c r="C282"/>
      <c r="H282"/>
      <c r="I282"/>
      <c r="J282"/>
      <c r="K282"/>
      <c r="L282"/>
      <c r="M282"/>
      <c r="N282"/>
      <c r="O282"/>
      <c r="P282"/>
    </row>
    <row r="283" spans="1:16" x14ac:dyDescent="0.2">
      <c r="A283"/>
      <c r="B283"/>
      <c r="C283"/>
      <c r="H283"/>
      <c r="I283"/>
      <c r="J283"/>
      <c r="K283"/>
      <c r="L283"/>
      <c r="M283"/>
      <c r="N283"/>
      <c r="O283"/>
      <c r="P283"/>
    </row>
    <row r="284" spans="1:16" ht="12" customHeight="1" x14ac:dyDescent="0.2">
      <c r="A284"/>
      <c r="B284"/>
      <c r="C284"/>
      <c r="H284"/>
      <c r="I284"/>
      <c r="J284"/>
      <c r="K284"/>
      <c r="L284"/>
      <c r="M284"/>
      <c r="N284"/>
      <c r="O284"/>
      <c r="P284"/>
    </row>
    <row r="285" spans="1:16" ht="12" customHeight="1" x14ac:dyDescent="0.2">
      <c r="A285"/>
      <c r="B285"/>
      <c r="C285"/>
      <c r="H285"/>
      <c r="I285"/>
      <c r="J285"/>
      <c r="K285"/>
      <c r="L285"/>
      <c r="M285"/>
      <c r="N285"/>
      <c r="O285"/>
      <c r="P285"/>
    </row>
    <row r="286" spans="1:16" ht="12" customHeight="1" x14ac:dyDescent="0.2">
      <c r="A286"/>
      <c r="B286"/>
      <c r="C286"/>
      <c r="H286"/>
      <c r="I286"/>
      <c r="J286"/>
      <c r="K286"/>
      <c r="L286"/>
      <c r="M286"/>
      <c r="N286"/>
      <c r="O286"/>
      <c r="P286"/>
    </row>
    <row r="287" spans="1:16" ht="12" customHeight="1" x14ac:dyDescent="0.2">
      <c r="A287"/>
      <c r="B287"/>
      <c r="C287"/>
      <c r="H287"/>
      <c r="I287"/>
      <c r="J287"/>
      <c r="K287"/>
      <c r="L287"/>
      <c r="M287"/>
      <c r="N287"/>
      <c r="O287"/>
      <c r="P287"/>
    </row>
    <row r="288" spans="1:16" ht="12" customHeight="1" x14ac:dyDescent="0.2">
      <c r="A288"/>
      <c r="B288"/>
      <c r="C288"/>
      <c r="H288"/>
      <c r="I288"/>
      <c r="J288"/>
      <c r="K288"/>
      <c r="L288"/>
      <c r="M288"/>
      <c r="N288"/>
      <c r="O288"/>
      <c r="P288"/>
    </row>
    <row r="289" spans="1:16" ht="12" customHeight="1" x14ac:dyDescent="0.2">
      <c r="A289"/>
      <c r="B289"/>
      <c r="C289"/>
      <c r="H289"/>
      <c r="I289"/>
      <c r="J289"/>
      <c r="K289"/>
      <c r="L289"/>
      <c r="M289"/>
      <c r="N289"/>
      <c r="O289"/>
      <c r="P289"/>
    </row>
    <row r="290" spans="1:16" x14ac:dyDescent="0.2">
      <c r="A290"/>
      <c r="B290"/>
      <c r="C290"/>
      <c r="H290"/>
      <c r="I290"/>
      <c r="J290"/>
      <c r="K290"/>
      <c r="L290"/>
      <c r="M290"/>
      <c r="N290"/>
      <c r="O290"/>
      <c r="P290"/>
    </row>
    <row r="291" spans="1:16" x14ac:dyDescent="0.2">
      <c r="A291"/>
      <c r="B291"/>
      <c r="C291"/>
      <c r="H291"/>
      <c r="I291"/>
      <c r="J291"/>
      <c r="K291"/>
      <c r="L291"/>
      <c r="M291"/>
      <c r="N291"/>
      <c r="O291"/>
      <c r="P291"/>
    </row>
    <row r="292" spans="1:16" x14ac:dyDescent="0.2">
      <c r="A292"/>
      <c r="B292"/>
      <c r="C292"/>
      <c r="H292"/>
      <c r="I292"/>
      <c r="J292"/>
      <c r="K292"/>
      <c r="L292"/>
      <c r="M292"/>
      <c r="N292"/>
      <c r="O292"/>
      <c r="P292"/>
    </row>
    <row r="293" spans="1:16" x14ac:dyDescent="0.2">
      <c r="A293"/>
      <c r="B293"/>
      <c r="C293"/>
      <c r="H293"/>
      <c r="I293"/>
      <c r="J293"/>
      <c r="K293"/>
      <c r="L293"/>
      <c r="M293"/>
      <c r="N293"/>
      <c r="O293"/>
      <c r="P293"/>
    </row>
    <row r="294" spans="1:16" ht="12" customHeight="1" x14ac:dyDescent="0.2">
      <c r="A294"/>
      <c r="B294"/>
      <c r="C294"/>
      <c r="H294"/>
      <c r="I294"/>
      <c r="J294"/>
      <c r="K294"/>
      <c r="L294"/>
      <c r="M294"/>
      <c r="N294"/>
      <c r="O294"/>
      <c r="P294"/>
    </row>
    <row r="295" spans="1:16" ht="12" customHeight="1" x14ac:dyDescent="0.2">
      <c r="A295"/>
      <c r="B295"/>
      <c r="C295"/>
      <c r="H295"/>
      <c r="I295"/>
      <c r="J295"/>
      <c r="K295"/>
      <c r="L295"/>
      <c r="M295"/>
      <c r="N295"/>
      <c r="O295"/>
      <c r="P295"/>
    </row>
    <row r="296" spans="1:16" ht="12" customHeight="1" x14ac:dyDescent="0.2">
      <c r="A296"/>
      <c r="B296"/>
      <c r="C296"/>
      <c r="H296"/>
      <c r="I296"/>
      <c r="J296"/>
      <c r="K296"/>
      <c r="L296"/>
      <c r="M296"/>
      <c r="N296"/>
      <c r="O296"/>
      <c r="P296"/>
    </row>
    <row r="297" spans="1:16" ht="12" customHeight="1" x14ac:dyDescent="0.2">
      <c r="A297"/>
      <c r="B297"/>
      <c r="C297"/>
      <c r="H297"/>
      <c r="I297"/>
      <c r="J297"/>
      <c r="K297"/>
      <c r="L297"/>
      <c r="M297"/>
      <c r="N297"/>
      <c r="O297"/>
      <c r="P297"/>
    </row>
    <row r="298" spans="1:16" ht="12" customHeight="1" x14ac:dyDescent="0.2">
      <c r="A298"/>
      <c r="B298"/>
      <c r="C298"/>
      <c r="H298"/>
      <c r="I298"/>
      <c r="J298"/>
      <c r="K298"/>
      <c r="L298"/>
      <c r="M298"/>
      <c r="N298"/>
      <c r="O298"/>
      <c r="P298"/>
    </row>
    <row r="299" spans="1:16" ht="12" customHeight="1" x14ac:dyDescent="0.2">
      <c r="A299"/>
      <c r="B299"/>
      <c r="C299"/>
      <c r="H299"/>
      <c r="I299"/>
      <c r="J299"/>
      <c r="K299"/>
      <c r="L299"/>
      <c r="M299"/>
      <c r="N299"/>
      <c r="O299"/>
      <c r="P299"/>
    </row>
    <row r="300" spans="1:16" x14ac:dyDescent="0.2">
      <c r="A300"/>
      <c r="B300"/>
      <c r="C300"/>
      <c r="H300"/>
      <c r="I300"/>
      <c r="J300"/>
      <c r="K300"/>
      <c r="L300"/>
      <c r="M300"/>
      <c r="N300"/>
      <c r="O300"/>
      <c r="P300"/>
    </row>
    <row r="301" spans="1:16" x14ac:dyDescent="0.2">
      <c r="A301"/>
      <c r="B301"/>
      <c r="C301"/>
      <c r="H301"/>
      <c r="I301"/>
      <c r="J301"/>
      <c r="K301"/>
      <c r="L301"/>
      <c r="M301"/>
      <c r="N301"/>
      <c r="O301"/>
      <c r="P301"/>
    </row>
    <row r="302" spans="1:16" x14ac:dyDescent="0.2">
      <c r="A302"/>
      <c r="B302"/>
      <c r="C302"/>
      <c r="H302"/>
      <c r="I302"/>
      <c r="J302"/>
      <c r="K302"/>
      <c r="L302"/>
      <c r="M302"/>
      <c r="N302"/>
      <c r="O302"/>
      <c r="P302"/>
    </row>
    <row r="303" spans="1:16" x14ac:dyDescent="0.2">
      <c r="A303"/>
      <c r="B303"/>
      <c r="C303"/>
      <c r="H303"/>
      <c r="I303"/>
      <c r="J303"/>
      <c r="K303"/>
      <c r="L303"/>
      <c r="M303"/>
      <c r="N303"/>
      <c r="O303"/>
      <c r="P303"/>
    </row>
    <row r="304" spans="1:16" ht="12" customHeight="1" x14ac:dyDescent="0.2">
      <c r="A304"/>
      <c r="B304"/>
      <c r="C304"/>
      <c r="H304"/>
      <c r="I304"/>
      <c r="J304"/>
      <c r="K304"/>
      <c r="L304"/>
      <c r="M304"/>
      <c r="N304"/>
      <c r="O304"/>
      <c r="P304"/>
    </row>
    <row r="305" spans="1:16" ht="12" customHeight="1" x14ac:dyDescent="0.2">
      <c r="A305"/>
      <c r="B305"/>
      <c r="C305"/>
      <c r="H305"/>
      <c r="I305"/>
      <c r="J305"/>
      <c r="K305"/>
      <c r="L305"/>
      <c r="M305"/>
      <c r="N305"/>
      <c r="O305"/>
      <c r="P305"/>
    </row>
    <row r="306" spans="1:16" ht="12" customHeight="1" x14ac:dyDescent="0.2">
      <c r="A306"/>
      <c r="B306"/>
      <c r="C306"/>
      <c r="H306"/>
      <c r="I306"/>
      <c r="J306"/>
      <c r="K306"/>
      <c r="L306"/>
      <c r="M306"/>
      <c r="N306"/>
      <c r="O306"/>
      <c r="P306"/>
    </row>
    <row r="307" spans="1:16" ht="12" customHeight="1" x14ac:dyDescent="0.2">
      <c r="A307"/>
      <c r="B307"/>
      <c r="C307"/>
      <c r="H307"/>
      <c r="I307"/>
      <c r="J307"/>
      <c r="K307"/>
      <c r="L307"/>
      <c r="M307"/>
      <c r="N307"/>
      <c r="O307"/>
      <c r="P307"/>
    </row>
    <row r="308" spans="1:16" ht="12" customHeight="1" x14ac:dyDescent="0.2">
      <c r="A308"/>
      <c r="B308"/>
      <c r="C308"/>
      <c r="H308"/>
      <c r="I308"/>
      <c r="J308"/>
      <c r="K308"/>
      <c r="L308"/>
      <c r="M308"/>
      <c r="N308"/>
      <c r="O308"/>
      <c r="P308"/>
    </row>
    <row r="309" spans="1:16" x14ac:dyDescent="0.2">
      <c r="A309"/>
      <c r="B309"/>
      <c r="C309"/>
      <c r="H309"/>
      <c r="I309"/>
      <c r="J309"/>
      <c r="K309"/>
      <c r="L309"/>
      <c r="M309"/>
      <c r="N309"/>
      <c r="O309"/>
      <c r="P309"/>
    </row>
    <row r="310" spans="1:16" x14ac:dyDescent="0.2">
      <c r="A310"/>
      <c r="B310"/>
      <c r="C310"/>
      <c r="H310"/>
      <c r="I310"/>
      <c r="J310"/>
      <c r="K310"/>
      <c r="L310"/>
      <c r="M310"/>
      <c r="N310"/>
      <c r="O310"/>
      <c r="P310"/>
    </row>
    <row r="311" spans="1:16" ht="12" customHeight="1" x14ac:dyDescent="0.2">
      <c r="A311"/>
      <c r="B311"/>
      <c r="C311"/>
      <c r="H311"/>
      <c r="I311"/>
      <c r="J311"/>
      <c r="K311"/>
      <c r="L311"/>
      <c r="M311"/>
      <c r="N311"/>
      <c r="O311"/>
      <c r="P311"/>
    </row>
    <row r="312" spans="1:16" ht="12" customHeight="1" x14ac:dyDescent="0.2">
      <c r="A312"/>
      <c r="B312"/>
      <c r="C312"/>
      <c r="H312"/>
      <c r="I312"/>
      <c r="J312"/>
      <c r="K312"/>
      <c r="L312"/>
      <c r="M312"/>
      <c r="N312"/>
      <c r="O312"/>
      <c r="P312"/>
    </row>
    <row r="313" spans="1:16" ht="12" customHeight="1" x14ac:dyDescent="0.2">
      <c r="A313"/>
      <c r="B313"/>
      <c r="C313"/>
      <c r="H313"/>
      <c r="I313"/>
      <c r="J313"/>
      <c r="K313"/>
      <c r="L313"/>
      <c r="M313"/>
      <c r="N313"/>
      <c r="O313"/>
      <c r="P313"/>
    </row>
    <row r="314" spans="1:16" ht="12" customHeight="1" x14ac:dyDescent="0.2">
      <c r="A314"/>
      <c r="B314"/>
      <c r="C314"/>
      <c r="H314"/>
      <c r="I314"/>
      <c r="J314"/>
      <c r="K314"/>
      <c r="L314"/>
      <c r="M314"/>
      <c r="N314"/>
      <c r="O314"/>
      <c r="P314"/>
    </row>
    <row r="315" spans="1:16" ht="12" customHeight="1" x14ac:dyDescent="0.2">
      <c r="A315"/>
      <c r="B315"/>
      <c r="C315"/>
      <c r="H315"/>
      <c r="I315"/>
      <c r="J315"/>
      <c r="K315"/>
      <c r="L315"/>
      <c r="M315"/>
      <c r="N315"/>
      <c r="O315"/>
      <c r="P315"/>
    </row>
    <row r="316" spans="1:16" ht="12" customHeight="1" x14ac:dyDescent="0.2">
      <c r="A316"/>
      <c r="B316"/>
      <c r="C316"/>
      <c r="H316"/>
      <c r="I316"/>
      <c r="J316"/>
      <c r="K316"/>
      <c r="L316"/>
      <c r="M316"/>
      <c r="N316"/>
      <c r="O316"/>
      <c r="P316"/>
    </row>
    <row r="317" spans="1:16" x14ac:dyDescent="0.2">
      <c r="A317"/>
      <c r="B317"/>
      <c r="C317"/>
      <c r="H317"/>
      <c r="I317"/>
      <c r="J317"/>
      <c r="K317"/>
      <c r="L317"/>
      <c r="M317"/>
      <c r="N317"/>
      <c r="O317"/>
      <c r="P317"/>
    </row>
    <row r="318" spans="1:16" x14ac:dyDescent="0.2">
      <c r="A318"/>
      <c r="B318"/>
      <c r="C318"/>
      <c r="H318"/>
      <c r="I318"/>
      <c r="J318"/>
      <c r="K318"/>
      <c r="L318"/>
      <c r="M318"/>
      <c r="N318"/>
      <c r="O318"/>
      <c r="P318"/>
    </row>
    <row r="319" spans="1:16" ht="12" customHeight="1" x14ac:dyDescent="0.2">
      <c r="A319"/>
      <c r="B319"/>
      <c r="C319"/>
      <c r="H319"/>
      <c r="I319"/>
      <c r="J319"/>
      <c r="K319"/>
      <c r="L319"/>
      <c r="M319"/>
      <c r="N319"/>
      <c r="O319"/>
      <c r="P319"/>
    </row>
    <row r="320" spans="1:16" ht="12" customHeight="1" x14ac:dyDescent="0.2">
      <c r="A320"/>
      <c r="B320"/>
      <c r="C320"/>
      <c r="H320"/>
      <c r="I320"/>
      <c r="J320"/>
      <c r="K320"/>
      <c r="L320"/>
      <c r="M320"/>
      <c r="N320"/>
      <c r="O320"/>
      <c r="P320"/>
    </row>
    <row r="321" spans="1:16" ht="12" customHeight="1" x14ac:dyDescent="0.2">
      <c r="A321"/>
      <c r="B321"/>
      <c r="C321"/>
      <c r="H321"/>
      <c r="I321"/>
      <c r="J321"/>
      <c r="K321"/>
      <c r="L321"/>
      <c r="M321"/>
      <c r="N321"/>
      <c r="O321"/>
      <c r="P321"/>
    </row>
    <row r="322" spans="1:16" ht="12" customHeight="1" x14ac:dyDescent="0.2">
      <c r="A322"/>
      <c r="B322"/>
      <c r="C322"/>
      <c r="H322"/>
      <c r="I322"/>
      <c r="J322"/>
      <c r="K322"/>
      <c r="L322"/>
      <c r="M322"/>
      <c r="N322"/>
      <c r="O322"/>
      <c r="P322"/>
    </row>
    <row r="323" spans="1:16" ht="12" customHeight="1" x14ac:dyDescent="0.2">
      <c r="A323"/>
      <c r="B323"/>
      <c r="C323"/>
      <c r="H323"/>
      <c r="I323"/>
      <c r="J323"/>
      <c r="K323"/>
      <c r="L323"/>
      <c r="M323"/>
      <c r="N323"/>
      <c r="O323"/>
      <c r="P323"/>
    </row>
    <row r="324" spans="1:16" ht="12" customHeight="1" x14ac:dyDescent="0.2">
      <c r="A324"/>
      <c r="B324"/>
      <c r="C324"/>
      <c r="H324"/>
      <c r="I324"/>
      <c r="J324"/>
      <c r="K324"/>
      <c r="L324"/>
      <c r="M324"/>
      <c r="N324"/>
      <c r="O324"/>
      <c r="P324"/>
    </row>
    <row r="325" spans="1:16" x14ac:dyDescent="0.2">
      <c r="A325"/>
      <c r="B325"/>
      <c r="C325"/>
      <c r="H325"/>
      <c r="I325"/>
      <c r="J325"/>
      <c r="K325"/>
      <c r="L325"/>
      <c r="M325"/>
      <c r="N325"/>
      <c r="O325"/>
      <c r="P325"/>
    </row>
    <row r="326" spans="1:16" x14ac:dyDescent="0.2">
      <c r="A326"/>
      <c r="B326"/>
      <c r="C326"/>
      <c r="H326"/>
      <c r="I326"/>
      <c r="J326"/>
      <c r="K326"/>
      <c r="L326"/>
      <c r="M326"/>
      <c r="N326"/>
      <c r="O326"/>
      <c r="P326"/>
    </row>
    <row r="327" spans="1:16" x14ac:dyDescent="0.2">
      <c r="A327"/>
      <c r="B327"/>
      <c r="C327"/>
      <c r="H327"/>
      <c r="I327"/>
      <c r="J327"/>
      <c r="K327"/>
      <c r="L327"/>
      <c r="M327"/>
      <c r="N327"/>
      <c r="O327"/>
      <c r="P327"/>
    </row>
    <row r="328" spans="1:16" ht="12" customHeight="1" x14ac:dyDescent="0.2">
      <c r="A328"/>
      <c r="B328"/>
      <c r="C328"/>
      <c r="H328"/>
      <c r="I328"/>
      <c r="J328"/>
      <c r="K328"/>
      <c r="L328"/>
      <c r="M328"/>
      <c r="N328"/>
      <c r="O328"/>
      <c r="P328"/>
    </row>
    <row r="329" spans="1:16" ht="12" customHeight="1" x14ac:dyDescent="0.2">
      <c r="A329"/>
      <c r="B329"/>
      <c r="C329"/>
      <c r="H329"/>
      <c r="I329"/>
      <c r="J329"/>
      <c r="K329"/>
      <c r="L329"/>
      <c r="M329"/>
      <c r="N329"/>
      <c r="O329"/>
      <c r="P329"/>
    </row>
    <row r="330" spans="1:16" ht="12" customHeight="1" x14ac:dyDescent="0.2">
      <c r="A330"/>
      <c r="B330"/>
      <c r="C330"/>
      <c r="H330"/>
      <c r="I330"/>
      <c r="J330"/>
      <c r="K330"/>
      <c r="L330"/>
      <c r="M330"/>
      <c r="N330"/>
      <c r="O330"/>
      <c r="P330"/>
    </row>
    <row r="331" spans="1:16" ht="12" customHeight="1" x14ac:dyDescent="0.2">
      <c r="A331"/>
      <c r="B331"/>
      <c r="C331"/>
      <c r="H331"/>
      <c r="I331"/>
      <c r="J331"/>
      <c r="K331"/>
      <c r="L331"/>
      <c r="M331"/>
      <c r="N331"/>
      <c r="O331"/>
      <c r="P331"/>
    </row>
    <row r="332" spans="1:16" ht="12" customHeight="1" x14ac:dyDescent="0.2">
      <c r="A332"/>
      <c r="B332"/>
      <c r="C332"/>
      <c r="H332"/>
      <c r="I332"/>
      <c r="J332"/>
      <c r="K332"/>
      <c r="L332"/>
      <c r="M332"/>
      <c r="N332"/>
      <c r="O332"/>
      <c r="P332"/>
    </row>
    <row r="333" spans="1:16" ht="12" customHeight="1" x14ac:dyDescent="0.2">
      <c r="A333"/>
      <c r="B333"/>
      <c r="C333"/>
      <c r="H333"/>
      <c r="I333"/>
      <c r="J333"/>
      <c r="K333"/>
      <c r="L333"/>
      <c r="M333"/>
      <c r="N333"/>
      <c r="O333"/>
      <c r="P333"/>
    </row>
    <row r="334" spans="1:16" ht="12" customHeight="1" x14ac:dyDescent="0.2">
      <c r="A334"/>
      <c r="B334"/>
      <c r="C334"/>
      <c r="H334"/>
      <c r="I334"/>
      <c r="J334"/>
      <c r="K334"/>
      <c r="L334"/>
      <c r="M334"/>
      <c r="N334"/>
      <c r="O334"/>
      <c r="P334"/>
    </row>
    <row r="335" spans="1:16" ht="12" customHeight="1" x14ac:dyDescent="0.2">
      <c r="A335"/>
      <c r="B335"/>
      <c r="C335"/>
      <c r="H335"/>
      <c r="I335"/>
      <c r="J335"/>
      <c r="K335"/>
      <c r="L335"/>
      <c r="M335"/>
      <c r="N335"/>
      <c r="O335"/>
      <c r="P335"/>
    </row>
    <row r="336" spans="1:16" x14ac:dyDescent="0.2">
      <c r="A336"/>
      <c r="B336"/>
      <c r="C336"/>
      <c r="H336"/>
      <c r="I336"/>
      <c r="J336"/>
      <c r="K336"/>
      <c r="L336"/>
      <c r="M336"/>
      <c r="N336"/>
      <c r="O336"/>
      <c r="P336"/>
    </row>
    <row r="337" spans="1:16" ht="12" customHeight="1" x14ac:dyDescent="0.2">
      <c r="A337"/>
      <c r="B337"/>
      <c r="C337"/>
      <c r="H337"/>
      <c r="I337"/>
      <c r="J337"/>
      <c r="K337"/>
      <c r="L337"/>
      <c r="M337"/>
      <c r="N337"/>
      <c r="O337"/>
      <c r="P337"/>
    </row>
    <row r="338" spans="1:16" ht="12" customHeight="1" x14ac:dyDescent="0.2">
      <c r="A338"/>
      <c r="B338"/>
      <c r="C338"/>
      <c r="H338"/>
      <c r="I338"/>
      <c r="J338"/>
      <c r="K338"/>
      <c r="L338"/>
      <c r="M338"/>
      <c r="N338"/>
      <c r="O338"/>
      <c r="P338"/>
    </row>
    <row r="339" spans="1:16" ht="12" customHeight="1" x14ac:dyDescent="0.2">
      <c r="A339"/>
      <c r="B339"/>
      <c r="C339"/>
      <c r="H339"/>
      <c r="I339"/>
      <c r="J339"/>
      <c r="K339"/>
      <c r="L339"/>
      <c r="M339"/>
      <c r="N339"/>
      <c r="O339"/>
      <c r="P339"/>
    </row>
    <row r="340" spans="1:16" ht="12" customHeight="1" x14ac:dyDescent="0.2">
      <c r="A340"/>
      <c r="B340"/>
      <c r="C340"/>
      <c r="H340"/>
      <c r="I340"/>
      <c r="J340"/>
      <c r="K340"/>
      <c r="L340"/>
      <c r="M340"/>
      <c r="N340"/>
      <c r="O340"/>
      <c r="P340"/>
    </row>
    <row r="341" spans="1:16" ht="12" customHeight="1" x14ac:dyDescent="0.2">
      <c r="A341"/>
      <c r="B341"/>
      <c r="C341"/>
      <c r="H341"/>
      <c r="I341"/>
      <c r="J341"/>
      <c r="K341"/>
      <c r="L341"/>
      <c r="M341"/>
      <c r="N341"/>
      <c r="O341"/>
      <c r="P341"/>
    </row>
    <row r="342" spans="1:16" ht="12" customHeight="1" x14ac:dyDescent="0.2">
      <c r="A342"/>
      <c r="B342"/>
      <c r="C342"/>
      <c r="H342"/>
      <c r="I342"/>
      <c r="J342"/>
      <c r="K342"/>
      <c r="L342"/>
      <c r="M342"/>
      <c r="N342"/>
      <c r="O342"/>
      <c r="P342"/>
    </row>
    <row r="343" spans="1:16" ht="12" customHeight="1" x14ac:dyDescent="0.2">
      <c r="A343"/>
      <c r="B343"/>
      <c r="C343"/>
      <c r="H343"/>
      <c r="I343"/>
      <c r="J343"/>
      <c r="K343"/>
      <c r="L343"/>
      <c r="M343"/>
      <c r="N343"/>
      <c r="O343"/>
      <c r="P343"/>
    </row>
    <row r="344" spans="1:16" x14ac:dyDescent="0.2">
      <c r="A344"/>
      <c r="B344"/>
      <c r="C344"/>
      <c r="H344"/>
      <c r="I344"/>
      <c r="J344"/>
      <c r="K344"/>
      <c r="L344"/>
      <c r="M344"/>
      <c r="N344"/>
      <c r="O344"/>
      <c r="P344"/>
    </row>
    <row r="345" spans="1:16" x14ac:dyDescent="0.2">
      <c r="A345"/>
      <c r="B345"/>
      <c r="C345"/>
      <c r="H345"/>
      <c r="I345"/>
      <c r="J345"/>
      <c r="K345"/>
      <c r="L345"/>
      <c r="M345"/>
      <c r="N345"/>
      <c r="O345"/>
      <c r="P345"/>
    </row>
    <row r="346" spans="1:16" x14ac:dyDescent="0.2">
      <c r="A346"/>
      <c r="B346"/>
      <c r="C346"/>
      <c r="H346"/>
      <c r="I346"/>
      <c r="J346"/>
      <c r="K346"/>
      <c r="L346"/>
      <c r="M346"/>
      <c r="N346"/>
      <c r="O346"/>
      <c r="P346"/>
    </row>
    <row r="347" spans="1:16" x14ac:dyDescent="0.2">
      <c r="A347"/>
      <c r="B347"/>
      <c r="C347"/>
      <c r="H347"/>
      <c r="I347"/>
      <c r="J347"/>
      <c r="K347"/>
      <c r="L347"/>
      <c r="M347"/>
      <c r="N347"/>
      <c r="O347"/>
      <c r="P347"/>
    </row>
    <row r="348" spans="1:16" x14ac:dyDescent="0.2">
      <c r="A348"/>
      <c r="B348"/>
      <c r="C348"/>
      <c r="H348"/>
      <c r="I348"/>
      <c r="J348"/>
      <c r="K348"/>
      <c r="L348"/>
      <c r="M348"/>
      <c r="N348"/>
      <c r="O348"/>
      <c r="P348"/>
    </row>
    <row r="349" spans="1:16" ht="12" customHeight="1" x14ac:dyDescent="0.2">
      <c r="A349"/>
      <c r="B349"/>
      <c r="C349"/>
      <c r="H349"/>
      <c r="I349"/>
      <c r="J349"/>
      <c r="K349"/>
      <c r="L349"/>
      <c r="M349"/>
      <c r="N349"/>
      <c r="O349"/>
      <c r="P349"/>
    </row>
    <row r="350" spans="1:16" ht="12" customHeight="1" x14ac:dyDescent="0.2">
      <c r="A350"/>
      <c r="B350"/>
      <c r="C350"/>
      <c r="H350"/>
      <c r="I350"/>
      <c r="J350"/>
      <c r="K350"/>
      <c r="L350"/>
      <c r="M350"/>
      <c r="N350"/>
      <c r="O350"/>
      <c r="P350"/>
    </row>
    <row r="351" spans="1:16" ht="12" customHeight="1" x14ac:dyDescent="0.2">
      <c r="A351"/>
      <c r="B351"/>
      <c r="C351"/>
      <c r="H351"/>
      <c r="I351"/>
      <c r="J351"/>
      <c r="K351"/>
      <c r="L351"/>
      <c r="M351"/>
      <c r="N351"/>
      <c r="O351"/>
      <c r="P351"/>
    </row>
    <row r="352" spans="1:16" ht="12" customHeight="1" x14ac:dyDescent="0.2">
      <c r="A352"/>
      <c r="B352"/>
      <c r="C352"/>
      <c r="H352"/>
      <c r="I352"/>
      <c r="J352"/>
      <c r="K352"/>
      <c r="L352"/>
      <c r="M352"/>
      <c r="N352"/>
      <c r="O352"/>
      <c r="P352"/>
    </row>
    <row r="353" spans="1:16" ht="12" customHeight="1" x14ac:dyDescent="0.2">
      <c r="A353"/>
      <c r="B353"/>
      <c r="C353"/>
      <c r="H353"/>
      <c r="I353"/>
      <c r="J353"/>
      <c r="K353"/>
      <c r="L353"/>
      <c r="M353"/>
      <c r="N353"/>
      <c r="O353"/>
      <c r="P353"/>
    </row>
    <row r="354" spans="1:16" ht="12" customHeight="1" x14ac:dyDescent="0.2">
      <c r="A354"/>
      <c r="B354"/>
      <c r="C354"/>
      <c r="H354"/>
      <c r="I354"/>
      <c r="J354"/>
      <c r="K354"/>
      <c r="L354"/>
      <c r="M354"/>
      <c r="N354"/>
      <c r="O354"/>
      <c r="P354"/>
    </row>
    <row r="355" spans="1:16" ht="15" customHeight="1" x14ac:dyDescent="0.2">
      <c r="A355"/>
      <c r="B355"/>
      <c r="C355"/>
      <c r="H355"/>
      <c r="I355"/>
      <c r="J355"/>
      <c r="K355"/>
      <c r="L355"/>
      <c r="M355"/>
      <c r="N355"/>
      <c r="O355"/>
      <c r="P355"/>
    </row>
    <row r="356" spans="1:16" x14ac:dyDescent="0.2">
      <c r="A356"/>
      <c r="B356"/>
      <c r="C356"/>
      <c r="H356"/>
      <c r="I356"/>
      <c r="J356"/>
      <c r="K356"/>
      <c r="L356"/>
      <c r="M356"/>
      <c r="N356"/>
      <c r="O356"/>
      <c r="P356"/>
    </row>
    <row r="357" spans="1:16" x14ac:dyDescent="0.2">
      <c r="A357"/>
      <c r="B357"/>
      <c r="C357"/>
      <c r="H357"/>
      <c r="I357"/>
      <c r="J357"/>
      <c r="K357"/>
      <c r="L357"/>
      <c r="M357"/>
      <c r="N357"/>
      <c r="O357"/>
      <c r="P357"/>
    </row>
    <row r="358" spans="1:16" x14ac:dyDescent="0.2">
      <c r="A358"/>
      <c r="B358"/>
      <c r="C358"/>
      <c r="H358"/>
      <c r="I358"/>
      <c r="J358"/>
      <c r="K358"/>
      <c r="L358"/>
      <c r="M358"/>
      <c r="N358"/>
      <c r="O358"/>
      <c r="P358"/>
    </row>
    <row r="359" spans="1:16" ht="12" customHeight="1" x14ac:dyDescent="0.2">
      <c r="A359"/>
      <c r="B359"/>
      <c r="C359"/>
      <c r="H359"/>
      <c r="I359"/>
      <c r="J359"/>
      <c r="K359"/>
      <c r="L359"/>
      <c r="M359"/>
      <c r="N359"/>
      <c r="O359"/>
      <c r="P359"/>
    </row>
    <row r="360" spans="1:16" ht="12" customHeight="1" x14ac:dyDescent="0.2">
      <c r="A360"/>
      <c r="B360"/>
      <c r="C360"/>
      <c r="H360"/>
      <c r="I360"/>
      <c r="J360"/>
      <c r="K360"/>
      <c r="L360"/>
      <c r="M360"/>
      <c r="N360"/>
      <c r="O360"/>
      <c r="P360"/>
    </row>
    <row r="361" spans="1:16" ht="12" customHeight="1" x14ac:dyDescent="0.2">
      <c r="A361"/>
      <c r="B361"/>
      <c r="C361"/>
      <c r="H361"/>
      <c r="I361"/>
      <c r="J361"/>
      <c r="K361"/>
      <c r="L361"/>
      <c r="M361"/>
      <c r="N361"/>
      <c r="O361"/>
      <c r="P361"/>
    </row>
    <row r="362" spans="1:16" ht="12" customHeight="1" x14ac:dyDescent="0.2">
      <c r="A362"/>
      <c r="B362"/>
      <c r="C362"/>
      <c r="H362"/>
      <c r="I362"/>
      <c r="J362"/>
      <c r="K362"/>
      <c r="L362"/>
      <c r="M362"/>
      <c r="N362"/>
      <c r="O362"/>
      <c r="P362"/>
    </row>
    <row r="363" spans="1:16" ht="12" customHeight="1" x14ac:dyDescent="0.2">
      <c r="A363"/>
      <c r="B363"/>
      <c r="C363"/>
      <c r="H363"/>
      <c r="I363"/>
      <c r="J363"/>
      <c r="K363"/>
      <c r="L363"/>
      <c r="M363"/>
      <c r="N363"/>
      <c r="O363"/>
      <c r="P363"/>
    </row>
    <row r="364" spans="1:16" ht="12" customHeight="1" x14ac:dyDescent="0.2">
      <c r="A364"/>
      <c r="B364"/>
      <c r="C364"/>
      <c r="H364"/>
      <c r="I364"/>
      <c r="J364"/>
      <c r="K364"/>
      <c r="L364"/>
      <c r="M364"/>
      <c r="N364"/>
      <c r="O364"/>
      <c r="P364"/>
    </row>
    <row r="365" spans="1:16" ht="12" customHeight="1" x14ac:dyDescent="0.2">
      <c r="A365"/>
      <c r="B365"/>
      <c r="C365"/>
      <c r="H365"/>
      <c r="I365"/>
      <c r="J365"/>
      <c r="K365"/>
      <c r="L365"/>
      <c r="M365"/>
      <c r="N365"/>
      <c r="O365"/>
      <c r="P365"/>
    </row>
    <row r="366" spans="1:16" x14ac:dyDescent="0.2">
      <c r="A366"/>
      <c r="B366"/>
      <c r="C366"/>
      <c r="H366"/>
      <c r="I366"/>
      <c r="J366"/>
      <c r="K366"/>
      <c r="L366"/>
      <c r="M366"/>
      <c r="N366"/>
      <c r="O366"/>
      <c r="P366"/>
    </row>
    <row r="367" spans="1:16" x14ac:dyDescent="0.2">
      <c r="A367"/>
      <c r="B367"/>
      <c r="C367"/>
      <c r="H367"/>
      <c r="I367"/>
      <c r="J367"/>
      <c r="K367"/>
      <c r="L367"/>
      <c r="M367"/>
      <c r="N367"/>
      <c r="O367"/>
      <c r="P367"/>
    </row>
    <row r="368" spans="1:16" ht="12" customHeight="1" x14ac:dyDescent="0.2">
      <c r="A368"/>
      <c r="B368"/>
      <c r="C368"/>
      <c r="H368"/>
      <c r="I368"/>
      <c r="J368"/>
      <c r="K368"/>
      <c r="L368"/>
      <c r="M368"/>
      <c r="N368"/>
      <c r="O368"/>
      <c r="P368"/>
    </row>
    <row r="369" spans="1:16" ht="12" customHeight="1" x14ac:dyDescent="0.2">
      <c r="A369"/>
      <c r="B369"/>
      <c r="C369"/>
      <c r="H369"/>
      <c r="I369"/>
      <c r="J369"/>
      <c r="K369"/>
      <c r="L369"/>
      <c r="M369"/>
      <c r="N369"/>
      <c r="O369"/>
      <c r="P369"/>
    </row>
    <row r="370" spans="1:16" ht="12" customHeight="1" x14ac:dyDescent="0.2">
      <c r="A370"/>
      <c r="B370"/>
      <c r="C370"/>
      <c r="H370"/>
      <c r="I370"/>
      <c r="J370"/>
      <c r="K370"/>
      <c r="L370"/>
      <c r="M370"/>
      <c r="N370"/>
      <c r="O370"/>
      <c r="P370"/>
    </row>
    <row r="371" spans="1:16" ht="12" customHeight="1" x14ac:dyDescent="0.2">
      <c r="A371"/>
      <c r="B371"/>
      <c r="C371"/>
      <c r="H371"/>
      <c r="I371"/>
      <c r="J371"/>
      <c r="K371"/>
      <c r="L371"/>
      <c r="M371"/>
      <c r="N371"/>
      <c r="O371"/>
      <c r="P371"/>
    </row>
    <row r="372" spans="1:16" ht="12" customHeight="1" x14ac:dyDescent="0.2">
      <c r="A372"/>
      <c r="B372"/>
      <c r="C372"/>
      <c r="H372"/>
      <c r="I372"/>
      <c r="J372"/>
      <c r="K372"/>
      <c r="L372"/>
      <c r="M372"/>
      <c r="N372"/>
      <c r="O372"/>
      <c r="P372"/>
    </row>
    <row r="373" spans="1:16" ht="12" customHeight="1" x14ac:dyDescent="0.2">
      <c r="A373"/>
      <c r="B373"/>
      <c r="C373"/>
      <c r="H373"/>
      <c r="I373"/>
      <c r="J373"/>
      <c r="K373"/>
      <c r="L373"/>
      <c r="M373"/>
      <c r="N373"/>
      <c r="O373"/>
      <c r="P373"/>
    </row>
    <row r="374" spans="1:16" ht="12" customHeight="1" x14ac:dyDescent="0.2">
      <c r="A374"/>
      <c r="B374"/>
      <c r="C374"/>
      <c r="H374"/>
      <c r="I374"/>
      <c r="J374"/>
      <c r="K374"/>
      <c r="L374"/>
      <c r="M374"/>
      <c r="N374"/>
      <c r="O374"/>
      <c r="P374"/>
    </row>
    <row r="375" spans="1:16" ht="12" customHeight="1" x14ac:dyDescent="0.2">
      <c r="A375"/>
      <c r="B375"/>
      <c r="C375"/>
      <c r="H375"/>
      <c r="I375"/>
      <c r="J375"/>
      <c r="K375"/>
      <c r="L375"/>
      <c r="M375"/>
      <c r="N375"/>
      <c r="O375"/>
      <c r="P375"/>
    </row>
    <row r="376" spans="1:16" ht="12" customHeight="1" x14ac:dyDescent="0.2">
      <c r="A376"/>
      <c r="B376"/>
      <c r="C376"/>
      <c r="H376"/>
      <c r="I376"/>
      <c r="J376"/>
      <c r="K376"/>
      <c r="L376"/>
      <c r="M376"/>
      <c r="N376"/>
      <c r="O376"/>
      <c r="P376"/>
    </row>
    <row r="377" spans="1:16" x14ac:dyDescent="0.2">
      <c r="A377"/>
      <c r="B377"/>
      <c r="C377"/>
      <c r="H377"/>
      <c r="I377"/>
      <c r="J377"/>
      <c r="K377"/>
      <c r="L377"/>
      <c r="M377"/>
      <c r="N377"/>
      <c r="O377"/>
      <c r="P377"/>
    </row>
    <row r="378" spans="1:16" x14ac:dyDescent="0.2">
      <c r="A378"/>
      <c r="B378"/>
      <c r="C378"/>
      <c r="H378"/>
      <c r="I378"/>
      <c r="J378"/>
      <c r="K378"/>
      <c r="L378"/>
      <c r="M378"/>
      <c r="N378"/>
      <c r="O378"/>
      <c r="P378"/>
    </row>
    <row r="379" spans="1:16" x14ac:dyDescent="0.2">
      <c r="A379"/>
      <c r="B379"/>
      <c r="C379"/>
      <c r="H379"/>
      <c r="I379"/>
      <c r="J379"/>
      <c r="K379"/>
      <c r="L379"/>
      <c r="M379"/>
      <c r="N379"/>
      <c r="O379"/>
      <c r="P379"/>
    </row>
    <row r="380" spans="1:16" x14ac:dyDescent="0.2">
      <c r="A380"/>
      <c r="B380"/>
      <c r="C380"/>
      <c r="H380"/>
      <c r="I380"/>
      <c r="J380"/>
      <c r="K380"/>
      <c r="L380"/>
      <c r="M380"/>
      <c r="N380"/>
      <c r="O380"/>
      <c r="P380"/>
    </row>
    <row r="381" spans="1:16" x14ac:dyDescent="0.2">
      <c r="A381"/>
      <c r="B381"/>
      <c r="C381"/>
      <c r="H381"/>
      <c r="I381"/>
      <c r="J381"/>
      <c r="K381"/>
      <c r="L381"/>
      <c r="M381"/>
      <c r="N381"/>
      <c r="O381"/>
      <c r="P381"/>
    </row>
    <row r="382" spans="1:16" x14ac:dyDescent="0.2">
      <c r="A382"/>
      <c r="B382"/>
      <c r="C382"/>
      <c r="H382"/>
      <c r="I382"/>
      <c r="J382"/>
      <c r="K382"/>
      <c r="L382"/>
      <c r="M382"/>
      <c r="N382"/>
      <c r="O382"/>
      <c r="P382"/>
    </row>
    <row r="383" spans="1:16" x14ac:dyDescent="0.2">
      <c r="A383"/>
      <c r="B383"/>
      <c r="C383"/>
      <c r="H383"/>
      <c r="I383"/>
      <c r="J383"/>
      <c r="K383"/>
      <c r="L383"/>
      <c r="M383"/>
      <c r="N383"/>
      <c r="O383"/>
      <c r="P383"/>
    </row>
    <row r="384" spans="1:16" x14ac:dyDescent="0.2">
      <c r="A384"/>
      <c r="B384"/>
      <c r="C384"/>
      <c r="H384"/>
      <c r="I384"/>
      <c r="J384"/>
      <c r="K384"/>
      <c r="L384"/>
      <c r="M384"/>
      <c r="N384"/>
      <c r="O384"/>
      <c r="P384"/>
    </row>
    <row r="385" spans="1:18" x14ac:dyDescent="0.2">
      <c r="A385"/>
      <c r="B385"/>
      <c r="C385"/>
      <c r="H385"/>
      <c r="I385"/>
      <c r="J385"/>
      <c r="K385"/>
      <c r="L385"/>
      <c r="M385"/>
      <c r="N385"/>
      <c r="O385"/>
      <c r="P385"/>
    </row>
    <row r="386" spans="1:18" x14ac:dyDescent="0.2">
      <c r="A386"/>
      <c r="B386"/>
      <c r="C386"/>
      <c r="H386"/>
      <c r="I386"/>
      <c r="J386"/>
      <c r="K386"/>
      <c r="L386"/>
      <c r="M386"/>
      <c r="N386"/>
      <c r="O386"/>
      <c r="P386"/>
    </row>
    <row r="387" spans="1:18" x14ac:dyDescent="0.2">
      <c r="A387"/>
      <c r="B387"/>
      <c r="C387"/>
      <c r="H387"/>
      <c r="I387"/>
      <c r="J387"/>
      <c r="K387"/>
      <c r="L387"/>
      <c r="M387"/>
      <c r="N387"/>
      <c r="O387"/>
      <c r="P387"/>
    </row>
    <row r="388" spans="1:18" x14ac:dyDescent="0.2">
      <c r="A388"/>
      <c r="B388"/>
      <c r="C388"/>
      <c r="H388"/>
      <c r="I388"/>
      <c r="J388"/>
      <c r="K388"/>
      <c r="L388"/>
      <c r="M388"/>
      <c r="N388"/>
      <c r="O388"/>
      <c r="P388"/>
    </row>
    <row r="389" spans="1:18" x14ac:dyDescent="0.2">
      <c r="A389"/>
      <c r="B389"/>
      <c r="C389"/>
      <c r="H389"/>
      <c r="I389"/>
      <c r="J389"/>
      <c r="K389"/>
      <c r="L389"/>
      <c r="M389"/>
      <c r="N389"/>
      <c r="O389"/>
      <c r="P389"/>
    </row>
    <row r="390" spans="1:18" x14ac:dyDescent="0.2">
      <c r="A390"/>
      <c r="B390"/>
      <c r="C390"/>
      <c r="H390"/>
      <c r="I390"/>
      <c r="J390"/>
      <c r="K390"/>
      <c r="L390"/>
      <c r="M390"/>
      <c r="N390"/>
      <c r="O390"/>
      <c r="P390"/>
    </row>
    <row r="391" spans="1:18" ht="12" customHeight="1" x14ac:dyDescent="0.2">
      <c r="A391"/>
      <c r="B391"/>
      <c r="C391"/>
      <c r="H391"/>
      <c r="I391"/>
      <c r="J391"/>
      <c r="K391"/>
      <c r="L391"/>
      <c r="M391"/>
      <c r="N391"/>
      <c r="O391"/>
      <c r="P391"/>
    </row>
    <row r="392" spans="1:18" ht="12" customHeight="1" x14ac:dyDescent="0.2">
      <c r="A392"/>
      <c r="B392"/>
      <c r="C392"/>
      <c r="H392"/>
      <c r="I392"/>
      <c r="J392"/>
      <c r="K392"/>
      <c r="L392"/>
      <c r="M392"/>
      <c r="N392"/>
      <c r="O392"/>
      <c r="P392"/>
    </row>
    <row r="393" spans="1:18" ht="12" customHeight="1" x14ac:dyDescent="0.2">
      <c r="A393"/>
      <c r="B393"/>
      <c r="C393"/>
      <c r="H393"/>
      <c r="I393"/>
      <c r="J393"/>
      <c r="K393"/>
      <c r="L393"/>
      <c r="M393"/>
      <c r="N393"/>
      <c r="O393"/>
      <c r="P393"/>
    </row>
    <row r="394" spans="1:18" ht="12" customHeight="1" x14ac:dyDescent="0.2">
      <c r="A394"/>
      <c r="B394"/>
      <c r="C394"/>
      <c r="H394"/>
      <c r="I394"/>
      <c r="J394"/>
      <c r="K394"/>
      <c r="L394"/>
      <c r="M394"/>
      <c r="N394"/>
      <c r="O394"/>
      <c r="P394"/>
    </row>
    <row r="395" spans="1:18" ht="12" customHeight="1" x14ac:dyDescent="0.2">
      <c r="A395"/>
      <c r="B395"/>
      <c r="C395"/>
      <c r="H395"/>
      <c r="I395"/>
      <c r="J395"/>
      <c r="K395"/>
      <c r="L395"/>
      <c r="M395"/>
      <c r="N395"/>
      <c r="O395"/>
      <c r="P395"/>
    </row>
    <row r="396" spans="1:18" ht="12" customHeight="1" x14ac:dyDescent="0.2">
      <c r="A396"/>
      <c r="B396"/>
      <c r="C396"/>
      <c r="H396"/>
      <c r="I396"/>
      <c r="J396"/>
      <c r="K396"/>
      <c r="L396"/>
      <c r="M396"/>
      <c r="N396"/>
      <c r="O396"/>
      <c r="P396"/>
    </row>
    <row r="397" spans="1:18" ht="12" customHeight="1" x14ac:dyDescent="0.2">
      <c r="A397"/>
      <c r="B397"/>
      <c r="C397"/>
      <c r="H397"/>
      <c r="I397"/>
      <c r="J397"/>
      <c r="K397"/>
      <c r="L397"/>
      <c r="M397"/>
      <c r="N397"/>
      <c r="O397"/>
      <c r="P397"/>
    </row>
    <row r="398" spans="1:18" s="115" customFormat="1" ht="12" customHeight="1" x14ac:dyDescent="0.2">
      <c r="R398" s="1007"/>
    </row>
    <row r="399" spans="1:18" x14ac:dyDescent="0.2">
      <c r="A399"/>
      <c r="B399"/>
      <c r="C399"/>
      <c r="H399"/>
      <c r="I399"/>
      <c r="J399"/>
      <c r="K399"/>
      <c r="L399"/>
      <c r="M399"/>
      <c r="N399"/>
      <c r="O399"/>
      <c r="P399"/>
    </row>
    <row r="400" spans="1:18" x14ac:dyDescent="0.2">
      <c r="A400"/>
      <c r="B400"/>
      <c r="C400"/>
      <c r="H400"/>
      <c r="I400"/>
      <c r="J400"/>
      <c r="K400"/>
      <c r="L400"/>
      <c r="M400"/>
      <c r="N400"/>
      <c r="O400"/>
      <c r="P400"/>
    </row>
    <row r="401" spans="1:16" x14ac:dyDescent="0.2">
      <c r="A401"/>
      <c r="B401"/>
      <c r="C401"/>
      <c r="H401"/>
      <c r="I401"/>
      <c r="J401"/>
      <c r="K401"/>
      <c r="L401"/>
      <c r="M401"/>
      <c r="N401"/>
      <c r="O401"/>
      <c r="P401"/>
    </row>
    <row r="402" spans="1:16" x14ac:dyDescent="0.2">
      <c r="A402"/>
      <c r="B402"/>
      <c r="C402"/>
      <c r="H402"/>
      <c r="I402"/>
      <c r="J402"/>
      <c r="K402"/>
      <c r="L402"/>
      <c r="M402"/>
      <c r="N402"/>
      <c r="O402"/>
      <c r="P402"/>
    </row>
    <row r="403" spans="1:16" x14ac:dyDescent="0.2">
      <c r="A403"/>
      <c r="B403"/>
      <c r="C403"/>
      <c r="H403"/>
      <c r="I403"/>
      <c r="J403"/>
      <c r="K403"/>
      <c r="L403"/>
      <c r="M403"/>
      <c r="N403"/>
      <c r="O403"/>
      <c r="P403"/>
    </row>
    <row r="404" spans="1:16" x14ac:dyDescent="0.2">
      <c r="A404"/>
      <c r="B404"/>
      <c r="C404"/>
      <c r="H404"/>
      <c r="I404"/>
      <c r="J404"/>
      <c r="K404"/>
      <c r="L404"/>
      <c r="M404"/>
      <c r="N404"/>
      <c r="O404"/>
      <c r="P404"/>
    </row>
    <row r="405" spans="1:16" x14ac:dyDescent="0.2">
      <c r="A405"/>
      <c r="B405"/>
      <c r="C405"/>
      <c r="H405"/>
      <c r="I405"/>
      <c r="J405"/>
      <c r="K405"/>
      <c r="L405"/>
      <c r="M405"/>
      <c r="N405"/>
      <c r="O405"/>
      <c r="P405"/>
    </row>
    <row r="406" spans="1:16" x14ac:dyDescent="0.2">
      <c r="A406"/>
      <c r="B406"/>
      <c r="C406"/>
      <c r="H406"/>
      <c r="I406"/>
      <c r="J406"/>
      <c r="K406"/>
      <c r="L406"/>
      <c r="M406"/>
      <c r="N406"/>
      <c r="O406"/>
      <c r="P406"/>
    </row>
    <row r="407" spans="1:16" x14ac:dyDescent="0.2">
      <c r="A407"/>
      <c r="B407"/>
      <c r="C407"/>
      <c r="H407"/>
      <c r="I407"/>
      <c r="J407"/>
      <c r="K407"/>
      <c r="L407"/>
      <c r="M407"/>
      <c r="N407"/>
      <c r="O407"/>
      <c r="P407"/>
    </row>
    <row r="408" spans="1:16" x14ac:dyDescent="0.2">
      <c r="A408"/>
      <c r="B408"/>
      <c r="C408"/>
      <c r="H408"/>
      <c r="I408"/>
      <c r="J408"/>
      <c r="K408"/>
      <c r="L408"/>
      <c r="M408"/>
      <c r="N408"/>
      <c r="O408"/>
      <c r="P408"/>
    </row>
    <row r="409" spans="1:16" x14ac:dyDescent="0.2">
      <c r="A409"/>
      <c r="B409"/>
      <c r="C409"/>
      <c r="H409"/>
      <c r="I409"/>
      <c r="J409"/>
      <c r="K409"/>
      <c r="L409"/>
      <c r="M409"/>
      <c r="N409"/>
      <c r="O409"/>
      <c r="P409"/>
    </row>
    <row r="410" spans="1:16" x14ac:dyDescent="0.2">
      <c r="A410"/>
      <c r="B410"/>
      <c r="C410"/>
      <c r="H410"/>
      <c r="I410"/>
      <c r="J410"/>
      <c r="K410"/>
      <c r="L410"/>
      <c r="M410"/>
      <c r="N410"/>
      <c r="O410"/>
      <c r="P410"/>
    </row>
    <row r="411" spans="1:16" x14ac:dyDescent="0.2">
      <c r="A411"/>
      <c r="B411"/>
      <c r="C411"/>
      <c r="H411"/>
      <c r="I411"/>
      <c r="J411"/>
      <c r="K411"/>
      <c r="L411"/>
      <c r="M411"/>
      <c r="N411"/>
      <c r="O411"/>
      <c r="P411"/>
    </row>
    <row r="412" spans="1:16" x14ac:dyDescent="0.2">
      <c r="A412"/>
      <c r="B412"/>
      <c r="C412"/>
      <c r="H412"/>
      <c r="I412"/>
      <c r="J412"/>
      <c r="K412"/>
      <c r="L412"/>
      <c r="M412"/>
      <c r="N412"/>
      <c r="O412"/>
      <c r="P412"/>
    </row>
    <row r="413" spans="1:16" ht="12" customHeight="1" x14ac:dyDescent="0.2">
      <c r="A413"/>
      <c r="B413"/>
      <c r="C413"/>
      <c r="H413"/>
      <c r="I413"/>
      <c r="J413"/>
      <c r="K413"/>
      <c r="L413"/>
      <c r="M413"/>
      <c r="N413"/>
      <c r="O413"/>
      <c r="P413"/>
    </row>
    <row r="414" spans="1:16" ht="12" customHeight="1" x14ac:dyDescent="0.2">
      <c r="A414"/>
      <c r="B414"/>
      <c r="C414"/>
      <c r="H414"/>
      <c r="I414"/>
      <c r="J414"/>
      <c r="K414"/>
      <c r="L414"/>
      <c r="M414"/>
      <c r="N414"/>
      <c r="O414"/>
      <c r="P414"/>
    </row>
    <row r="415" spans="1:16" ht="12" customHeight="1" x14ac:dyDescent="0.2">
      <c r="A415"/>
      <c r="B415"/>
      <c r="C415"/>
      <c r="H415"/>
      <c r="I415"/>
      <c r="J415"/>
      <c r="K415"/>
      <c r="L415"/>
      <c r="M415"/>
      <c r="N415"/>
      <c r="O415"/>
      <c r="P415"/>
    </row>
    <row r="416" spans="1:16" ht="12" customHeight="1" x14ac:dyDescent="0.2">
      <c r="A416"/>
      <c r="B416"/>
      <c r="C416"/>
      <c r="H416"/>
      <c r="I416"/>
      <c r="J416"/>
      <c r="K416"/>
      <c r="L416"/>
      <c r="M416"/>
      <c r="N416"/>
      <c r="O416"/>
      <c r="P416"/>
    </row>
    <row r="417" spans="1:18" ht="12" customHeight="1" x14ac:dyDescent="0.2">
      <c r="A417"/>
      <c r="B417"/>
      <c r="C417"/>
      <c r="H417"/>
      <c r="I417"/>
      <c r="J417"/>
      <c r="K417"/>
      <c r="L417"/>
      <c r="M417"/>
      <c r="N417"/>
      <c r="O417"/>
      <c r="P417"/>
    </row>
    <row r="418" spans="1:18" ht="12" customHeight="1" x14ac:dyDescent="0.2">
      <c r="A418"/>
      <c r="B418"/>
      <c r="C418"/>
      <c r="H418"/>
      <c r="I418"/>
      <c r="J418"/>
      <c r="K418"/>
      <c r="L418"/>
      <c r="M418"/>
      <c r="N418"/>
      <c r="O418"/>
      <c r="P418"/>
    </row>
    <row r="419" spans="1:18" ht="12" customHeight="1" x14ac:dyDescent="0.2">
      <c r="A419"/>
      <c r="B419"/>
      <c r="C419"/>
      <c r="H419"/>
      <c r="I419"/>
      <c r="J419"/>
      <c r="K419"/>
      <c r="L419"/>
      <c r="M419"/>
      <c r="N419"/>
      <c r="O419"/>
      <c r="P419"/>
    </row>
    <row r="420" spans="1:18" s="115" customFormat="1" ht="12" customHeight="1" x14ac:dyDescent="0.2">
      <c r="R420" s="1007"/>
    </row>
    <row r="421" spans="1:18" ht="12" customHeight="1" x14ac:dyDescent="0.2">
      <c r="A421"/>
      <c r="B421"/>
      <c r="C421"/>
      <c r="H421"/>
      <c r="I421"/>
      <c r="J421"/>
      <c r="K421"/>
      <c r="L421"/>
      <c r="M421"/>
      <c r="N421"/>
      <c r="O421"/>
      <c r="P421"/>
    </row>
    <row r="422" spans="1:18" ht="12" customHeight="1" x14ac:dyDescent="0.2">
      <c r="A422"/>
      <c r="B422"/>
      <c r="C422"/>
      <c r="H422"/>
      <c r="I422"/>
      <c r="J422"/>
      <c r="K422"/>
      <c r="L422"/>
      <c r="M422"/>
      <c r="N422"/>
      <c r="O422"/>
      <c r="P422"/>
    </row>
    <row r="423" spans="1:18" ht="12" customHeight="1" x14ac:dyDescent="0.2">
      <c r="A423"/>
      <c r="B423"/>
      <c r="C423"/>
      <c r="H423"/>
      <c r="I423"/>
      <c r="J423"/>
      <c r="K423"/>
      <c r="L423"/>
      <c r="M423"/>
      <c r="N423"/>
      <c r="O423"/>
      <c r="P423"/>
    </row>
    <row r="424" spans="1:18" x14ac:dyDescent="0.2">
      <c r="A424"/>
      <c r="B424"/>
      <c r="C424"/>
      <c r="H424"/>
      <c r="I424"/>
      <c r="J424"/>
      <c r="K424"/>
      <c r="L424"/>
      <c r="M424"/>
      <c r="N424"/>
      <c r="O424"/>
      <c r="P424"/>
    </row>
    <row r="425" spans="1:18" x14ac:dyDescent="0.2">
      <c r="A425"/>
      <c r="B425"/>
      <c r="C425"/>
      <c r="H425"/>
      <c r="I425"/>
      <c r="J425"/>
      <c r="K425"/>
      <c r="L425"/>
      <c r="M425"/>
      <c r="N425"/>
      <c r="O425"/>
      <c r="P425"/>
    </row>
    <row r="426" spans="1:18" x14ac:dyDescent="0.2">
      <c r="A426"/>
      <c r="B426"/>
      <c r="C426"/>
      <c r="H426"/>
      <c r="I426"/>
      <c r="J426"/>
      <c r="K426"/>
      <c r="L426"/>
      <c r="M426"/>
      <c r="N426"/>
      <c r="O426"/>
      <c r="P426"/>
    </row>
    <row r="427" spans="1:18" x14ac:dyDescent="0.2">
      <c r="A427"/>
      <c r="B427"/>
      <c r="C427"/>
      <c r="H427"/>
      <c r="I427"/>
      <c r="J427"/>
      <c r="K427"/>
      <c r="L427"/>
      <c r="M427"/>
      <c r="N427"/>
      <c r="O427"/>
      <c r="P427"/>
    </row>
    <row r="428" spans="1:18" x14ac:dyDescent="0.2">
      <c r="A428"/>
      <c r="B428"/>
      <c r="C428"/>
      <c r="H428"/>
      <c r="I428"/>
      <c r="J428"/>
      <c r="K428"/>
      <c r="L428"/>
      <c r="M428"/>
      <c r="N428"/>
      <c r="O428"/>
      <c r="P428"/>
    </row>
    <row r="429" spans="1:18" x14ac:dyDescent="0.2">
      <c r="A429"/>
      <c r="B429"/>
      <c r="C429"/>
      <c r="H429"/>
      <c r="I429"/>
      <c r="J429"/>
      <c r="K429"/>
      <c r="L429"/>
      <c r="M429"/>
      <c r="N429"/>
      <c r="O429"/>
      <c r="P429"/>
    </row>
    <row r="430" spans="1:18" x14ac:dyDescent="0.2">
      <c r="A430"/>
      <c r="B430"/>
      <c r="C430"/>
      <c r="H430"/>
      <c r="I430"/>
      <c r="J430"/>
      <c r="K430"/>
      <c r="L430"/>
      <c r="M430"/>
      <c r="N430"/>
      <c r="O430"/>
      <c r="P430"/>
    </row>
    <row r="431" spans="1:18" x14ac:dyDescent="0.2">
      <c r="A431"/>
      <c r="B431"/>
      <c r="C431"/>
      <c r="H431"/>
      <c r="I431"/>
      <c r="J431"/>
      <c r="K431"/>
      <c r="L431"/>
      <c r="M431"/>
      <c r="N431"/>
      <c r="O431"/>
      <c r="P431"/>
    </row>
    <row r="432" spans="1:18" x14ac:dyDescent="0.2">
      <c r="A432"/>
      <c r="B432"/>
      <c r="C432"/>
      <c r="H432"/>
      <c r="I432"/>
      <c r="J432"/>
      <c r="K432"/>
      <c r="L432"/>
      <c r="M432"/>
      <c r="N432"/>
      <c r="O432"/>
      <c r="P432"/>
    </row>
    <row r="433" spans="1:18" x14ac:dyDescent="0.2">
      <c r="A433"/>
      <c r="B433"/>
      <c r="C433"/>
      <c r="H433"/>
      <c r="I433"/>
      <c r="J433"/>
      <c r="K433"/>
      <c r="L433"/>
      <c r="M433"/>
      <c r="N433"/>
      <c r="O433"/>
      <c r="P433"/>
    </row>
    <row r="434" spans="1:18" x14ac:dyDescent="0.2">
      <c r="A434"/>
      <c r="B434"/>
      <c r="C434"/>
      <c r="H434"/>
      <c r="I434"/>
      <c r="J434"/>
      <c r="K434"/>
      <c r="L434"/>
      <c r="M434"/>
      <c r="N434"/>
      <c r="O434"/>
      <c r="P434"/>
    </row>
    <row r="435" spans="1:18" x14ac:dyDescent="0.2">
      <c r="A435"/>
      <c r="B435"/>
      <c r="C435"/>
      <c r="H435"/>
      <c r="I435"/>
      <c r="J435"/>
      <c r="K435"/>
      <c r="L435"/>
      <c r="M435"/>
      <c r="N435"/>
      <c r="O435"/>
      <c r="P435"/>
    </row>
    <row r="436" spans="1:18" x14ac:dyDescent="0.2">
      <c r="A436"/>
      <c r="B436"/>
      <c r="C436"/>
      <c r="H436"/>
      <c r="I436"/>
      <c r="J436"/>
      <c r="K436"/>
      <c r="L436"/>
      <c r="M436"/>
      <c r="N436"/>
      <c r="O436"/>
      <c r="P436"/>
    </row>
    <row r="437" spans="1:18" ht="12" customHeight="1" x14ac:dyDescent="0.2">
      <c r="A437"/>
      <c r="B437"/>
      <c r="C437"/>
      <c r="H437"/>
      <c r="I437"/>
      <c r="J437"/>
      <c r="K437"/>
      <c r="L437"/>
      <c r="M437"/>
      <c r="N437"/>
      <c r="O437"/>
      <c r="P437"/>
    </row>
    <row r="438" spans="1:18" ht="12" customHeight="1" x14ac:dyDescent="0.2">
      <c r="A438"/>
      <c r="B438"/>
      <c r="C438"/>
      <c r="H438"/>
      <c r="I438"/>
      <c r="J438"/>
      <c r="K438"/>
      <c r="L438"/>
      <c r="M438"/>
      <c r="N438"/>
      <c r="O438"/>
      <c r="P438"/>
    </row>
    <row r="439" spans="1:18" ht="12" customHeight="1" x14ac:dyDescent="0.2">
      <c r="A439"/>
      <c r="B439"/>
      <c r="C439"/>
      <c r="H439"/>
      <c r="I439"/>
      <c r="J439"/>
      <c r="K439"/>
      <c r="L439"/>
      <c r="M439"/>
      <c r="N439"/>
      <c r="O439"/>
      <c r="P439"/>
    </row>
    <row r="440" spans="1:18" ht="12" customHeight="1" x14ac:dyDescent="0.2">
      <c r="A440"/>
      <c r="B440"/>
      <c r="C440"/>
      <c r="H440"/>
      <c r="I440"/>
      <c r="J440"/>
      <c r="K440"/>
      <c r="L440"/>
      <c r="M440"/>
      <c r="N440"/>
      <c r="O440"/>
      <c r="P440"/>
    </row>
    <row r="441" spans="1:18" ht="12" customHeight="1" x14ac:dyDescent="0.2">
      <c r="A441"/>
      <c r="B441"/>
      <c r="C441"/>
      <c r="H441"/>
      <c r="I441"/>
      <c r="J441"/>
      <c r="K441"/>
      <c r="L441"/>
      <c r="M441"/>
      <c r="N441"/>
      <c r="O441"/>
      <c r="P441"/>
    </row>
    <row r="442" spans="1:18" ht="12" customHeight="1" x14ac:dyDescent="0.2">
      <c r="A442"/>
      <c r="B442"/>
      <c r="C442"/>
      <c r="H442"/>
      <c r="I442"/>
      <c r="J442"/>
      <c r="K442"/>
      <c r="L442"/>
      <c r="M442"/>
      <c r="N442"/>
      <c r="O442"/>
      <c r="P442"/>
    </row>
    <row r="443" spans="1:18" ht="12" customHeight="1" x14ac:dyDescent="0.2">
      <c r="A443"/>
      <c r="B443"/>
      <c r="C443"/>
      <c r="H443"/>
      <c r="I443"/>
      <c r="J443"/>
      <c r="K443"/>
      <c r="L443"/>
      <c r="M443"/>
      <c r="N443"/>
      <c r="O443"/>
      <c r="P443"/>
    </row>
    <row r="444" spans="1:18" ht="12" customHeight="1" x14ac:dyDescent="0.2">
      <c r="A444"/>
      <c r="B444"/>
      <c r="C444"/>
      <c r="H444"/>
      <c r="I444"/>
      <c r="J444"/>
      <c r="K444"/>
      <c r="L444"/>
      <c r="M444"/>
      <c r="N444"/>
      <c r="O444"/>
      <c r="P444"/>
    </row>
    <row r="445" spans="1:18" ht="12" customHeight="1" x14ac:dyDescent="0.2">
      <c r="A445"/>
      <c r="B445"/>
      <c r="C445"/>
      <c r="H445"/>
      <c r="I445"/>
      <c r="J445"/>
      <c r="K445"/>
      <c r="L445"/>
      <c r="M445"/>
      <c r="N445"/>
      <c r="O445"/>
      <c r="P445"/>
    </row>
    <row r="446" spans="1:18" s="115" customFormat="1" ht="12" customHeight="1" x14ac:dyDescent="0.2">
      <c r="R446" s="1007"/>
    </row>
    <row r="447" spans="1:18" s="115" customFormat="1" ht="12" customHeight="1" x14ac:dyDescent="0.2">
      <c r="R447" s="1007"/>
    </row>
    <row r="448" spans="1:18" x14ac:dyDescent="0.2">
      <c r="A448"/>
      <c r="B448"/>
      <c r="C448"/>
      <c r="H448"/>
      <c r="I448"/>
      <c r="J448"/>
      <c r="K448"/>
      <c r="L448"/>
      <c r="M448"/>
      <c r="N448"/>
      <c r="O448"/>
      <c r="P448"/>
    </row>
    <row r="449" spans="1:16" x14ac:dyDescent="0.2">
      <c r="A449"/>
      <c r="B449"/>
      <c r="C449"/>
      <c r="H449"/>
      <c r="I449"/>
      <c r="J449"/>
      <c r="K449"/>
      <c r="L449"/>
      <c r="M449"/>
      <c r="N449"/>
      <c r="O449"/>
      <c r="P449"/>
    </row>
    <row r="450" spans="1:16" x14ac:dyDescent="0.2">
      <c r="A450"/>
      <c r="B450"/>
      <c r="C450"/>
      <c r="H450"/>
      <c r="I450"/>
      <c r="J450"/>
      <c r="K450"/>
      <c r="L450"/>
      <c r="M450"/>
      <c r="N450"/>
      <c r="O450"/>
      <c r="P450"/>
    </row>
    <row r="451" spans="1:16" x14ac:dyDescent="0.2">
      <c r="A451"/>
      <c r="B451"/>
      <c r="C451"/>
      <c r="H451"/>
      <c r="I451"/>
      <c r="J451"/>
      <c r="K451"/>
      <c r="L451"/>
      <c r="M451"/>
      <c r="N451"/>
      <c r="O451"/>
      <c r="P451"/>
    </row>
    <row r="452" spans="1:16" x14ac:dyDescent="0.2">
      <c r="A452"/>
      <c r="B452"/>
      <c r="C452"/>
      <c r="H452"/>
      <c r="I452"/>
      <c r="J452"/>
      <c r="K452"/>
      <c r="L452"/>
      <c r="M452"/>
      <c r="N452"/>
      <c r="O452"/>
      <c r="P452"/>
    </row>
    <row r="453" spans="1:16" x14ac:dyDescent="0.2">
      <c r="A453"/>
      <c r="B453"/>
      <c r="C453"/>
      <c r="H453"/>
      <c r="I453"/>
      <c r="J453"/>
      <c r="K453"/>
      <c r="L453"/>
      <c r="M453"/>
      <c r="N453"/>
      <c r="O453"/>
      <c r="P453"/>
    </row>
    <row r="454" spans="1:16" x14ac:dyDescent="0.2">
      <c r="A454"/>
      <c r="B454"/>
      <c r="C454"/>
      <c r="H454"/>
      <c r="I454"/>
      <c r="J454"/>
      <c r="K454"/>
      <c r="L454"/>
      <c r="M454"/>
      <c r="N454"/>
      <c r="O454"/>
      <c r="P454"/>
    </row>
    <row r="455" spans="1:16" x14ac:dyDescent="0.2">
      <c r="A455"/>
      <c r="B455"/>
      <c r="C455"/>
      <c r="H455"/>
      <c r="I455"/>
      <c r="J455"/>
      <c r="K455"/>
      <c r="L455"/>
      <c r="M455"/>
      <c r="N455"/>
      <c r="O455"/>
      <c r="P455"/>
    </row>
    <row r="456" spans="1:16" x14ac:dyDescent="0.2">
      <c r="A456"/>
      <c r="B456"/>
      <c r="C456"/>
      <c r="H456"/>
      <c r="I456"/>
      <c r="J456"/>
      <c r="K456"/>
      <c r="L456"/>
      <c r="M456"/>
      <c r="N456"/>
      <c r="O456"/>
      <c r="P456"/>
    </row>
    <row r="457" spans="1:16" x14ac:dyDescent="0.2">
      <c r="A457"/>
      <c r="B457"/>
      <c r="C457"/>
      <c r="H457"/>
      <c r="I457"/>
      <c r="J457"/>
      <c r="K457"/>
      <c r="L457"/>
      <c r="M457"/>
      <c r="N457"/>
      <c r="O457"/>
      <c r="P457"/>
    </row>
    <row r="458" spans="1:16" x14ac:dyDescent="0.2">
      <c r="A458"/>
      <c r="B458"/>
      <c r="C458"/>
      <c r="H458"/>
      <c r="I458"/>
      <c r="J458"/>
      <c r="K458"/>
      <c r="L458"/>
      <c r="M458"/>
      <c r="N458"/>
      <c r="O458"/>
      <c r="P458"/>
    </row>
    <row r="459" spans="1:16" x14ac:dyDescent="0.2">
      <c r="A459"/>
      <c r="B459"/>
      <c r="C459"/>
      <c r="H459"/>
      <c r="I459"/>
      <c r="J459"/>
      <c r="K459"/>
      <c r="L459"/>
      <c r="M459"/>
      <c r="N459"/>
      <c r="O459"/>
      <c r="P459"/>
    </row>
    <row r="460" spans="1:16" x14ac:dyDescent="0.2">
      <c r="A460"/>
      <c r="B460"/>
      <c r="C460"/>
      <c r="H460"/>
      <c r="I460"/>
      <c r="J460"/>
      <c r="K460"/>
      <c r="L460"/>
      <c r="M460"/>
      <c r="N460"/>
      <c r="O460"/>
      <c r="P460"/>
    </row>
    <row r="461" spans="1:16" x14ac:dyDescent="0.2">
      <c r="A461"/>
      <c r="B461"/>
      <c r="C461"/>
      <c r="H461"/>
      <c r="I461"/>
      <c r="J461"/>
      <c r="K461"/>
      <c r="L461"/>
      <c r="M461"/>
      <c r="N461"/>
      <c r="O461"/>
      <c r="P461"/>
    </row>
    <row r="462" spans="1:16" ht="12" customHeight="1" x14ac:dyDescent="0.2">
      <c r="A462"/>
      <c r="B462"/>
      <c r="C462"/>
      <c r="H462"/>
      <c r="I462"/>
      <c r="J462"/>
      <c r="K462"/>
      <c r="L462"/>
      <c r="M462"/>
      <c r="N462"/>
      <c r="O462"/>
      <c r="P462"/>
    </row>
    <row r="463" spans="1:16" ht="12" customHeight="1" x14ac:dyDescent="0.2">
      <c r="A463"/>
      <c r="B463"/>
      <c r="C463"/>
      <c r="H463"/>
      <c r="I463"/>
      <c r="J463"/>
      <c r="K463"/>
      <c r="L463"/>
      <c r="M463"/>
      <c r="N463"/>
      <c r="O463"/>
      <c r="P463"/>
    </row>
    <row r="464" spans="1:16" ht="12" customHeight="1" x14ac:dyDescent="0.2">
      <c r="A464"/>
      <c r="B464"/>
      <c r="C464"/>
      <c r="H464"/>
      <c r="I464"/>
      <c r="J464"/>
      <c r="K464"/>
      <c r="L464"/>
      <c r="M464"/>
      <c r="N464"/>
      <c r="O464"/>
      <c r="P464"/>
    </row>
    <row r="465" spans="1:18" ht="12" customHeight="1" x14ac:dyDescent="0.2">
      <c r="A465"/>
      <c r="B465"/>
      <c r="C465"/>
      <c r="H465"/>
      <c r="I465"/>
      <c r="J465"/>
      <c r="K465"/>
      <c r="L465"/>
      <c r="M465"/>
      <c r="N465"/>
      <c r="O465"/>
      <c r="P465"/>
    </row>
    <row r="466" spans="1:18" ht="12" customHeight="1" x14ac:dyDescent="0.2">
      <c r="A466"/>
      <c r="B466"/>
      <c r="C466"/>
      <c r="H466"/>
      <c r="I466"/>
      <c r="J466"/>
      <c r="K466"/>
      <c r="L466"/>
      <c r="M466"/>
      <c r="N466"/>
      <c r="O466"/>
      <c r="P466"/>
    </row>
    <row r="467" spans="1:18" ht="12" customHeight="1" x14ac:dyDescent="0.2">
      <c r="A467"/>
      <c r="B467"/>
      <c r="C467"/>
      <c r="H467"/>
      <c r="I467"/>
      <c r="J467"/>
      <c r="K467"/>
      <c r="L467"/>
      <c r="M467"/>
      <c r="N467"/>
      <c r="O467"/>
      <c r="P467"/>
    </row>
    <row r="468" spans="1:18" ht="12" customHeight="1" x14ac:dyDescent="0.2">
      <c r="A468"/>
      <c r="B468"/>
      <c r="C468"/>
      <c r="H468"/>
      <c r="I468"/>
      <c r="J468"/>
      <c r="K468"/>
      <c r="L468"/>
      <c r="M468"/>
      <c r="N468"/>
      <c r="O468"/>
      <c r="P468"/>
    </row>
    <row r="469" spans="1:18" s="115" customFormat="1" ht="12" customHeight="1" x14ac:dyDescent="0.2">
      <c r="R469" s="1007"/>
    </row>
    <row r="470" spans="1:18" ht="12" customHeight="1" x14ac:dyDescent="0.2">
      <c r="A470"/>
      <c r="B470"/>
      <c r="C470"/>
      <c r="H470"/>
      <c r="I470"/>
      <c r="J470"/>
      <c r="K470"/>
      <c r="L470"/>
      <c r="M470"/>
      <c r="N470"/>
      <c r="O470"/>
      <c r="P470"/>
    </row>
    <row r="471" spans="1:18" x14ac:dyDescent="0.2">
      <c r="A471"/>
      <c r="B471"/>
      <c r="C471"/>
      <c r="H471"/>
      <c r="I471"/>
      <c r="J471"/>
      <c r="K471"/>
      <c r="L471"/>
      <c r="M471"/>
      <c r="N471"/>
      <c r="O471"/>
      <c r="P471"/>
    </row>
    <row r="472" spans="1:18" x14ac:dyDescent="0.2">
      <c r="A472"/>
      <c r="B472"/>
      <c r="C472"/>
      <c r="H472"/>
      <c r="I472"/>
      <c r="J472"/>
      <c r="K472"/>
      <c r="L472"/>
      <c r="M472"/>
      <c r="N472"/>
      <c r="O472"/>
      <c r="P472"/>
    </row>
    <row r="473" spans="1:18" x14ac:dyDescent="0.2">
      <c r="A473"/>
      <c r="B473"/>
      <c r="C473"/>
      <c r="H473"/>
      <c r="I473"/>
      <c r="J473"/>
      <c r="K473"/>
      <c r="L473"/>
      <c r="M473"/>
      <c r="N473"/>
      <c r="O473"/>
      <c r="P473"/>
    </row>
    <row r="474" spans="1:18" x14ac:dyDescent="0.2">
      <c r="A474"/>
      <c r="B474"/>
      <c r="C474"/>
      <c r="H474"/>
      <c r="I474"/>
      <c r="J474"/>
      <c r="K474"/>
      <c r="L474"/>
      <c r="M474"/>
      <c r="N474"/>
      <c r="O474"/>
      <c r="P474"/>
    </row>
    <row r="475" spans="1:18" x14ac:dyDescent="0.2">
      <c r="A475"/>
      <c r="B475"/>
      <c r="C475"/>
      <c r="H475"/>
      <c r="I475"/>
      <c r="J475"/>
      <c r="K475"/>
      <c r="L475"/>
      <c r="M475"/>
      <c r="N475"/>
      <c r="O475"/>
      <c r="P475"/>
    </row>
    <row r="476" spans="1:18" x14ac:dyDescent="0.2">
      <c r="A476"/>
      <c r="B476"/>
      <c r="C476"/>
      <c r="H476"/>
      <c r="I476"/>
      <c r="J476"/>
      <c r="K476"/>
      <c r="L476"/>
      <c r="M476"/>
      <c r="N476"/>
      <c r="O476"/>
      <c r="P476"/>
    </row>
    <row r="477" spans="1:18" x14ac:dyDescent="0.2">
      <c r="A477"/>
      <c r="B477"/>
      <c r="C477"/>
      <c r="H477"/>
      <c r="I477"/>
      <c r="J477"/>
      <c r="K477"/>
      <c r="L477"/>
      <c r="M477"/>
      <c r="N477"/>
      <c r="O477"/>
      <c r="P477"/>
    </row>
    <row r="478" spans="1:18" x14ac:dyDescent="0.2">
      <c r="A478"/>
      <c r="B478"/>
      <c r="C478"/>
      <c r="H478"/>
      <c r="I478"/>
      <c r="J478"/>
      <c r="K478"/>
      <c r="L478"/>
      <c r="M478"/>
      <c r="N478"/>
      <c r="O478"/>
      <c r="P478"/>
    </row>
    <row r="479" spans="1:18" x14ac:dyDescent="0.2">
      <c r="A479"/>
      <c r="B479"/>
      <c r="C479"/>
      <c r="H479"/>
      <c r="I479"/>
      <c r="J479"/>
      <c r="K479"/>
      <c r="L479"/>
      <c r="M479"/>
      <c r="N479"/>
      <c r="O479"/>
      <c r="P479"/>
    </row>
    <row r="480" spans="1:18" x14ac:dyDescent="0.2">
      <c r="A480"/>
      <c r="B480"/>
      <c r="C480"/>
      <c r="H480"/>
      <c r="I480"/>
      <c r="J480"/>
      <c r="K480"/>
      <c r="L480"/>
      <c r="M480"/>
      <c r="N480"/>
      <c r="O480"/>
      <c r="P480"/>
    </row>
    <row r="481" spans="1:18" x14ac:dyDescent="0.2">
      <c r="A481"/>
      <c r="B481"/>
      <c r="C481"/>
      <c r="H481"/>
      <c r="I481"/>
      <c r="J481"/>
      <c r="K481"/>
      <c r="L481"/>
      <c r="M481"/>
      <c r="N481"/>
      <c r="O481"/>
      <c r="P481"/>
    </row>
    <row r="482" spans="1:18" x14ac:dyDescent="0.2">
      <c r="A482"/>
      <c r="B482"/>
      <c r="C482"/>
      <c r="H482"/>
      <c r="I482"/>
      <c r="J482"/>
      <c r="K482"/>
      <c r="L482"/>
      <c r="M482"/>
      <c r="N482"/>
      <c r="O482"/>
      <c r="P482"/>
    </row>
    <row r="483" spans="1:18" ht="12" customHeight="1" x14ac:dyDescent="0.2">
      <c r="A483"/>
      <c r="B483"/>
      <c r="C483"/>
      <c r="H483"/>
      <c r="I483"/>
      <c r="J483"/>
      <c r="K483"/>
      <c r="L483"/>
      <c r="M483"/>
      <c r="N483"/>
      <c r="O483"/>
      <c r="P483"/>
    </row>
    <row r="484" spans="1:18" ht="12" customHeight="1" x14ac:dyDescent="0.2">
      <c r="A484"/>
      <c r="B484"/>
      <c r="C484"/>
      <c r="H484"/>
      <c r="I484"/>
      <c r="J484"/>
      <c r="K484"/>
      <c r="L484"/>
      <c r="M484"/>
      <c r="N484"/>
      <c r="O484"/>
      <c r="P484"/>
    </row>
    <row r="485" spans="1:18" ht="12" customHeight="1" x14ac:dyDescent="0.2">
      <c r="A485"/>
      <c r="B485"/>
      <c r="C485"/>
      <c r="H485"/>
      <c r="I485"/>
      <c r="J485"/>
      <c r="K485"/>
      <c r="L485"/>
      <c r="M485"/>
      <c r="N485"/>
      <c r="O485"/>
      <c r="P485"/>
    </row>
    <row r="486" spans="1:18" ht="12" customHeight="1" x14ac:dyDescent="0.2">
      <c r="A486"/>
      <c r="B486"/>
      <c r="C486"/>
      <c r="H486"/>
      <c r="I486"/>
      <c r="J486"/>
      <c r="K486"/>
      <c r="L486"/>
      <c r="M486"/>
      <c r="N486"/>
      <c r="O486"/>
      <c r="P486"/>
    </row>
    <row r="487" spans="1:18" ht="12" customHeight="1" x14ac:dyDescent="0.2">
      <c r="A487"/>
      <c r="B487"/>
      <c r="C487"/>
      <c r="H487"/>
      <c r="I487"/>
      <c r="J487"/>
      <c r="K487"/>
      <c r="L487"/>
      <c r="M487"/>
      <c r="N487"/>
      <c r="O487"/>
      <c r="P487"/>
    </row>
    <row r="488" spans="1:18" ht="12" customHeight="1" x14ac:dyDescent="0.2">
      <c r="A488"/>
      <c r="B488"/>
      <c r="C488"/>
      <c r="H488"/>
      <c r="I488"/>
      <c r="J488"/>
      <c r="K488"/>
      <c r="L488"/>
      <c r="M488"/>
      <c r="N488"/>
      <c r="O488"/>
      <c r="P488"/>
    </row>
    <row r="489" spans="1:18" ht="12" customHeight="1" x14ac:dyDescent="0.2">
      <c r="A489"/>
      <c r="B489"/>
      <c r="C489"/>
      <c r="H489"/>
      <c r="I489"/>
      <c r="J489"/>
      <c r="K489"/>
      <c r="L489"/>
      <c r="M489"/>
      <c r="N489"/>
      <c r="O489"/>
      <c r="P489"/>
    </row>
    <row r="490" spans="1:18" ht="12" customHeight="1" x14ac:dyDescent="0.2">
      <c r="A490"/>
      <c r="B490"/>
      <c r="C490"/>
      <c r="H490"/>
      <c r="I490"/>
      <c r="J490"/>
      <c r="K490"/>
      <c r="L490"/>
      <c r="M490"/>
      <c r="N490"/>
      <c r="O490"/>
      <c r="P490"/>
    </row>
    <row r="491" spans="1:18" s="115" customFormat="1" ht="12" customHeight="1" x14ac:dyDescent="0.2">
      <c r="R491" s="1007"/>
    </row>
    <row r="492" spans="1:18" ht="12" customHeight="1" x14ac:dyDescent="0.2">
      <c r="A492"/>
      <c r="B492"/>
      <c r="C492"/>
      <c r="H492"/>
      <c r="I492"/>
      <c r="J492"/>
      <c r="K492"/>
      <c r="L492"/>
      <c r="M492"/>
      <c r="N492"/>
      <c r="O492"/>
      <c r="P492"/>
    </row>
    <row r="493" spans="1:18" x14ac:dyDescent="0.2">
      <c r="A493"/>
      <c r="B493"/>
      <c r="C493"/>
      <c r="H493"/>
      <c r="I493"/>
      <c r="J493"/>
      <c r="K493"/>
      <c r="L493"/>
      <c r="M493"/>
      <c r="N493"/>
      <c r="O493"/>
      <c r="P493"/>
    </row>
    <row r="494" spans="1:18" x14ac:dyDescent="0.2">
      <c r="A494"/>
      <c r="B494"/>
      <c r="C494"/>
      <c r="H494"/>
      <c r="I494"/>
      <c r="J494"/>
      <c r="K494"/>
      <c r="L494"/>
      <c r="M494"/>
      <c r="N494"/>
      <c r="O494"/>
      <c r="P494"/>
    </row>
    <row r="495" spans="1:18" x14ac:dyDescent="0.2">
      <c r="A495"/>
      <c r="B495"/>
      <c r="C495"/>
      <c r="H495"/>
      <c r="I495"/>
      <c r="J495"/>
      <c r="K495"/>
      <c r="L495"/>
      <c r="M495"/>
      <c r="N495"/>
      <c r="O495"/>
      <c r="P495"/>
    </row>
    <row r="496" spans="1:18" x14ac:dyDescent="0.2">
      <c r="A496"/>
      <c r="B496"/>
      <c r="C496"/>
      <c r="H496"/>
      <c r="I496"/>
      <c r="J496"/>
      <c r="K496"/>
      <c r="L496"/>
      <c r="M496"/>
      <c r="N496"/>
      <c r="O496"/>
      <c r="P496"/>
    </row>
    <row r="497" spans="1:16" x14ac:dyDescent="0.2">
      <c r="A497"/>
      <c r="B497"/>
      <c r="C497"/>
      <c r="H497"/>
      <c r="I497"/>
      <c r="J497"/>
      <c r="K497"/>
      <c r="L497"/>
      <c r="M497"/>
      <c r="N497"/>
      <c r="O497"/>
      <c r="P497"/>
    </row>
    <row r="498" spans="1:16" x14ac:dyDescent="0.2">
      <c r="A498"/>
      <c r="B498"/>
      <c r="C498"/>
      <c r="H498"/>
      <c r="I498"/>
      <c r="J498"/>
      <c r="K498"/>
      <c r="L498"/>
      <c r="M498"/>
      <c r="N498"/>
      <c r="O498"/>
      <c r="P498"/>
    </row>
    <row r="499" spans="1:16" x14ac:dyDescent="0.2">
      <c r="A499"/>
      <c r="B499"/>
      <c r="C499"/>
      <c r="H499"/>
      <c r="I499"/>
      <c r="J499"/>
      <c r="K499"/>
      <c r="L499"/>
      <c r="M499"/>
      <c r="N499"/>
      <c r="O499"/>
      <c r="P499"/>
    </row>
    <row r="500" spans="1:16" x14ac:dyDescent="0.2">
      <c r="A500"/>
      <c r="B500"/>
      <c r="C500"/>
      <c r="H500"/>
      <c r="I500"/>
      <c r="J500"/>
      <c r="K500"/>
      <c r="L500"/>
      <c r="M500"/>
      <c r="N500"/>
      <c r="O500"/>
      <c r="P500"/>
    </row>
    <row r="501" spans="1:16" x14ac:dyDescent="0.2">
      <c r="A501"/>
      <c r="B501"/>
      <c r="C501"/>
      <c r="H501"/>
      <c r="I501"/>
      <c r="J501"/>
      <c r="K501"/>
      <c r="L501"/>
      <c r="M501"/>
      <c r="N501"/>
      <c r="O501"/>
      <c r="P501"/>
    </row>
    <row r="502" spans="1:16" x14ac:dyDescent="0.2">
      <c r="A502"/>
      <c r="B502"/>
      <c r="C502"/>
      <c r="H502"/>
      <c r="I502"/>
      <c r="J502"/>
      <c r="K502"/>
      <c r="L502"/>
      <c r="M502"/>
      <c r="N502"/>
      <c r="O502"/>
      <c r="P502"/>
    </row>
    <row r="503" spans="1:16" x14ac:dyDescent="0.2">
      <c r="A503"/>
      <c r="B503"/>
      <c r="C503"/>
      <c r="H503"/>
      <c r="I503"/>
      <c r="J503"/>
      <c r="K503"/>
      <c r="L503"/>
      <c r="M503"/>
      <c r="N503"/>
      <c r="O503"/>
      <c r="P503"/>
    </row>
    <row r="504" spans="1:16" x14ac:dyDescent="0.2">
      <c r="A504"/>
      <c r="B504"/>
      <c r="C504"/>
      <c r="H504"/>
      <c r="I504"/>
      <c r="J504"/>
      <c r="K504"/>
      <c r="L504"/>
      <c r="M504"/>
      <c r="N504"/>
      <c r="O504"/>
      <c r="P504"/>
    </row>
    <row r="505" spans="1:16" x14ac:dyDescent="0.2">
      <c r="A505"/>
      <c r="B505"/>
      <c r="C505"/>
      <c r="H505"/>
      <c r="I505"/>
      <c r="J505"/>
      <c r="K505"/>
      <c r="L505"/>
      <c r="M505"/>
      <c r="N505"/>
      <c r="O505"/>
      <c r="P505"/>
    </row>
    <row r="506" spans="1:16" ht="12" customHeight="1" x14ac:dyDescent="0.2">
      <c r="A506"/>
      <c r="B506"/>
      <c r="C506"/>
      <c r="H506"/>
      <c r="I506"/>
      <c r="J506"/>
      <c r="K506"/>
      <c r="L506"/>
      <c r="M506"/>
      <c r="N506"/>
      <c r="O506"/>
      <c r="P506"/>
    </row>
    <row r="507" spans="1:16" ht="12" customHeight="1" x14ac:dyDescent="0.2">
      <c r="A507"/>
      <c r="B507"/>
      <c r="C507"/>
      <c r="H507"/>
      <c r="I507"/>
      <c r="J507"/>
      <c r="K507"/>
      <c r="L507"/>
      <c r="M507"/>
      <c r="N507"/>
      <c r="O507"/>
      <c r="P507"/>
    </row>
    <row r="508" spans="1:16" ht="12" customHeight="1" x14ac:dyDescent="0.2">
      <c r="A508"/>
      <c r="B508"/>
      <c r="C508"/>
      <c r="H508"/>
      <c r="I508"/>
      <c r="J508"/>
      <c r="K508"/>
      <c r="L508"/>
      <c r="M508"/>
      <c r="N508"/>
      <c r="O508"/>
      <c r="P508"/>
    </row>
    <row r="509" spans="1:16" ht="12" customHeight="1" x14ac:dyDescent="0.2">
      <c r="A509"/>
      <c r="B509"/>
      <c r="C509"/>
      <c r="H509"/>
      <c r="I509"/>
      <c r="J509"/>
      <c r="K509"/>
      <c r="L509"/>
      <c r="M509"/>
      <c r="N509"/>
      <c r="O509"/>
      <c r="P509"/>
    </row>
    <row r="510" spans="1:16" ht="12" customHeight="1" x14ac:dyDescent="0.2">
      <c r="A510"/>
      <c r="B510"/>
      <c r="C510"/>
      <c r="H510"/>
      <c r="I510"/>
      <c r="J510"/>
      <c r="K510"/>
      <c r="L510"/>
      <c r="M510"/>
      <c r="N510"/>
      <c r="O510"/>
      <c r="P510"/>
    </row>
    <row r="511" spans="1:16" ht="12" customHeight="1" x14ac:dyDescent="0.2">
      <c r="A511"/>
      <c r="B511"/>
      <c r="C511"/>
      <c r="H511"/>
      <c r="I511"/>
      <c r="J511"/>
      <c r="K511"/>
      <c r="L511"/>
      <c r="M511"/>
      <c r="N511"/>
      <c r="O511"/>
      <c r="P511"/>
    </row>
    <row r="512" spans="1:16" ht="12" customHeight="1" x14ac:dyDescent="0.2">
      <c r="A512"/>
      <c r="B512"/>
      <c r="C512"/>
      <c r="H512"/>
      <c r="I512"/>
      <c r="J512"/>
      <c r="K512"/>
      <c r="L512"/>
      <c r="M512"/>
      <c r="N512"/>
      <c r="O512"/>
      <c r="P512"/>
    </row>
    <row r="513" spans="1:16" ht="12" customHeight="1" x14ac:dyDescent="0.2">
      <c r="A513"/>
      <c r="B513"/>
      <c r="C513"/>
      <c r="H513"/>
      <c r="I513"/>
      <c r="J513"/>
      <c r="K513"/>
      <c r="L513"/>
      <c r="M513"/>
      <c r="N513"/>
      <c r="O513"/>
      <c r="P513"/>
    </row>
    <row r="514" spans="1:16" ht="12" customHeight="1" x14ac:dyDescent="0.2">
      <c r="A514"/>
      <c r="B514"/>
      <c r="C514"/>
      <c r="H514"/>
      <c r="I514"/>
      <c r="J514"/>
      <c r="K514"/>
      <c r="L514"/>
      <c r="M514"/>
      <c r="N514"/>
      <c r="O514"/>
      <c r="P514"/>
    </row>
    <row r="515" spans="1:16" x14ac:dyDescent="0.2">
      <c r="A515"/>
      <c r="B515"/>
      <c r="C515"/>
      <c r="H515"/>
      <c r="I515"/>
      <c r="J515"/>
      <c r="K515"/>
      <c r="L515"/>
      <c r="M515"/>
      <c r="N515"/>
      <c r="O515"/>
      <c r="P515"/>
    </row>
    <row r="516" spans="1:16" x14ac:dyDescent="0.2">
      <c r="A516"/>
      <c r="B516"/>
      <c r="C516"/>
      <c r="H516"/>
      <c r="I516"/>
      <c r="J516"/>
      <c r="K516"/>
      <c r="L516"/>
      <c r="M516"/>
      <c r="N516"/>
      <c r="O516"/>
      <c r="P516"/>
    </row>
    <row r="517" spans="1:16" x14ac:dyDescent="0.2">
      <c r="A517"/>
      <c r="B517"/>
      <c r="C517"/>
      <c r="H517"/>
      <c r="I517"/>
      <c r="J517"/>
      <c r="K517"/>
      <c r="L517"/>
      <c r="M517"/>
      <c r="N517"/>
      <c r="O517"/>
      <c r="P517"/>
    </row>
    <row r="518" spans="1:16" x14ac:dyDescent="0.2">
      <c r="A518"/>
      <c r="B518"/>
      <c r="C518"/>
      <c r="H518"/>
      <c r="I518"/>
      <c r="J518"/>
      <c r="K518"/>
      <c r="L518"/>
      <c r="M518"/>
      <c r="N518"/>
      <c r="O518"/>
      <c r="P518"/>
    </row>
    <row r="519" spans="1:16" x14ac:dyDescent="0.2">
      <c r="A519"/>
      <c r="B519"/>
      <c r="C519"/>
      <c r="H519"/>
      <c r="I519"/>
      <c r="J519"/>
      <c r="K519"/>
      <c r="L519"/>
      <c r="M519"/>
      <c r="N519"/>
      <c r="O519"/>
      <c r="P519"/>
    </row>
    <row r="520" spans="1:16" x14ac:dyDescent="0.2">
      <c r="A520"/>
      <c r="B520"/>
      <c r="C520"/>
      <c r="H520"/>
      <c r="I520"/>
      <c r="J520"/>
      <c r="K520"/>
      <c r="L520"/>
      <c r="M520"/>
      <c r="N520"/>
      <c r="O520"/>
      <c r="P520"/>
    </row>
    <row r="521" spans="1:16" x14ac:dyDescent="0.2">
      <c r="A521"/>
      <c r="B521"/>
      <c r="C521"/>
      <c r="H521"/>
      <c r="I521"/>
      <c r="J521"/>
      <c r="K521"/>
      <c r="L521"/>
      <c r="M521"/>
      <c r="N521"/>
      <c r="O521"/>
      <c r="P521"/>
    </row>
    <row r="522" spans="1:16" x14ac:dyDescent="0.2">
      <c r="A522"/>
      <c r="B522"/>
      <c r="C522"/>
      <c r="H522"/>
      <c r="I522"/>
      <c r="J522"/>
      <c r="K522"/>
      <c r="L522"/>
      <c r="M522"/>
      <c r="N522"/>
      <c r="O522"/>
      <c r="P522"/>
    </row>
    <row r="523" spans="1:16" x14ac:dyDescent="0.2">
      <c r="A523"/>
      <c r="B523"/>
      <c r="C523"/>
      <c r="H523"/>
      <c r="I523"/>
      <c r="J523"/>
      <c r="K523"/>
      <c r="L523"/>
      <c r="M523"/>
      <c r="N523"/>
      <c r="O523"/>
      <c r="P523"/>
    </row>
    <row r="524" spans="1:16" x14ac:dyDescent="0.2">
      <c r="A524"/>
      <c r="B524"/>
      <c r="C524"/>
      <c r="H524"/>
      <c r="I524"/>
      <c r="J524"/>
      <c r="K524"/>
      <c r="L524"/>
      <c r="M524"/>
      <c r="N524"/>
      <c r="O524"/>
      <c r="P524"/>
    </row>
    <row r="525" spans="1:16" x14ac:dyDescent="0.2">
      <c r="A525"/>
      <c r="B525"/>
      <c r="C525"/>
      <c r="H525"/>
      <c r="I525"/>
      <c r="J525"/>
      <c r="K525"/>
      <c r="L525"/>
      <c r="M525"/>
      <c r="N525"/>
      <c r="O525"/>
      <c r="P525"/>
    </row>
    <row r="526" spans="1:16" x14ac:dyDescent="0.2">
      <c r="A526"/>
      <c r="B526"/>
      <c r="C526"/>
      <c r="H526"/>
      <c r="I526"/>
      <c r="J526"/>
      <c r="K526"/>
      <c r="L526"/>
      <c r="M526"/>
      <c r="N526"/>
      <c r="O526"/>
      <c r="P526"/>
    </row>
    <row r="527" spans="1:16" ht="12" customHeight="1" x14ac:dyDescent="0.2">
      <c r="A527"/>
      <c r="B527"/>
      <c r="C527"/>
      <c r="H527"/>
      <c r="I527"/>
      <c r="J527"/>
      <c r="K527"/>
      <c r="L527"/>
      <c r="M527"/>
      <c r="N527"/>
      <c r="O527"/>
      <c r="P527"/>
    </row>
    <row r="528" spans="1:16" ht="12" customHeight="1" x14ac:dyDescent="0.2">
      <c r="A528"/>
      <c r="B528"/>
      <c r="C528"/>
      <c r="H528"/>
      <c r="I528"/>
      <c r="J528"/>
      <c r="K528"/>
      <c r="L528"/>
      <c r="M528"/>
      <c r="N528"/>
      <c r="O528"/>
      <c r="P528"/>
    </row>
    <row r="529" spans="1:18" ht="12" customHeight="1" x14ac:dyDescent="0.2">
      <c r="A529"/>
      <c r="B529"/>
      <c r="C529"/>
      <c r="H529"/>
      <c r="I529"/>
      <c r="J529"/>
      <c r="K529"/>
      <c r="L529"/>
      <c r="M529"/>
      <c r="N529"/>
      <c r="O529"/>
      <c r="P529"/>
    </row>
    <row r="530" spans="1:18" ht="12" customHeight="1" x14ac:dyDescent="0.2">
      <c r="A530"/>
      <c r="B530"/>
      <c r="C530"/>
      <c r="H530"/>
      <c r="I530"/>
      <c r="J530"/>
      <c r="K530"/>
      <c r="L530"/>
      <c r="M530"/>
      <c r="N530"/>
      <c r="O530"/>
      <c r="P530"/>
    </row>
    <row r="531" spans="1:18" ht="12" customHeight="1" x14ac:dyDescent="0.2">
      <c r="A531"/>
      <c r="B531"/>
      <c r="C531"/>
      <c r="H531"/>
      <c r="I531"/>
      <c r="J531"/>
      <c r="K531"/>
      <c r="L531"/>
      <c r="M531"/>
      <c r="N531"/>
      <c r="O531"/>
      <c r="P531"/>
    </row>
    <row r="532" spans="1:18" ht="12" customHeight="1" x14ac:dyDescent="0.2">
      <c r="A532"/>
      <c r="B532"/>
      <c r="C532"/>
      <c r="H532"/>
      <c r="I532"/>
      <c r="J532"/>
      <c r="K532"/>
      <c r="L532"/>
      <c r="M532"/>
      <c r="N532"/>
      <c r="O532"/>
      <c r="P532"/>
    </row>
    <row r="533" spans="1:18" ht="12" customHeight="1" x14ac:dyDescent="0.2">
      <c r="A533"/>
      <c r="B533"/>
      <c r="C533"/>
      <c r="H533"/>
      <c r="I533"/>
      <c r="J533"/>
      <c r="K533"/>
      <c r="L533"/>
      <c r="M533"/>
      <c r="N533"/>
      <c r="O533"/>
      <c r="P533"/>
    </row>
    <row r="534" spans="1:18" s="115" customFormat="1" ht="12" customHeight="1" x14ac:dyDescent="0.2">
      <c r="R534" s="1007"/>
    </row>
    <row r="535" spans="1:18" ht="12" customHeight="1" x14ac:dyDescent="0.2">
      <c r="A535"/>
      <c r="B535"/>
      <c r="C535"/>
      <c r="H535"/>
      <c r="I535"/>
      <c r="J535"/>
      <c r="K535"/>
      <c r="L535"/>
      <c r="M535"/>
      <c r="N535"/>
      <c r="O535"/>
      <c r="P535"/>
    </row>
    <row r="536" spans="1:18" x14ac:dyDescent="0.2">
      <c r="A536"/>
      <c r="B536"/>
      <c r="C536"/>
      <c r="H536"/>
      <c r="I536"/>
      <c r="J536"/>
      <c r="K536"/>
      <c r="L536"/>
      <c r="M536"/>
      <c r="N536"/>
      <c r="O536"/>
      <c r="P536"/>
    </row>
    <row r="537" spans="1:18" x14ac:dyDescent="0.2">
      <c r="A537"/>
      <c r="B537"/>
      <c r="C537"/>
      <c r="H537"/>
      <c r="I537"/>
      <c r="J537"/>
      <c r="K537"/>
      <c r="L537"/>
      <c r="M537"/>
      <c r="N537"/>
      <c r="O537"/>
      <c r="P537"/>
    </row>
    <row r="538" spans="1:18" x14ac:dyDescent="0.2">
      <c r="A538"/>
      <c r="B538"/>
      <c r="C538"/>
      <c r="H538"/>
      <c r="I538"/>
      <c r="J538"/>
      <c r="K538"/>
      <c r="L538"/>
      <c r="M538"/>
      <c r="N538"/>
      <c r="O538"/>
      <c r="P538"/>
    </row>
    <row r="539" spans="1:18" x14ac:dyDescent="0.2">
      <c r="A539"/>
      <c r="B539"/>
      <c r="C539"/>
      <c r="H539"/>
      <c r="I539"/>
      <c r="J539"/>
      <c r="K539"/>
      <c r="L539"/>
      <c r="M539"/>
      <c r="N539"/>
      <c r="O539"/>
      <c r="P539"/>
    </row>
    <row r="540" spans="1:18" x14ac:dyDescent="0.2">
      <c r="A540"/>
      <c r="B540"/>
      <c r="C540"/>
      <c r="H540"/>
      <c r="I540"/>
      <c r="J540"/>
      <c r="K540"/>
      <c r="L540"/>
      <c r="M540"/>
      <c r="N540"/>
      <c r="O540"/>
      <c r="P540"/>
    </row>
    <row r="541" spans="1:18" x14ac:dyDescent="0.2">
      <c r="A541"/>
      <c r="B541"/>
      <c r="C541"/>
      <c r="H541"/>
      <c r="I541"/>
      <c r="J541"/>
      <c r="K541"/>
      <c r="L541"/>
      <c r="M541"/>
      <c r="N541"/>
      <c r="O541"/>
      <c r="P541"/>
    </row>
    <row r="542" spans="1:18" x14ac:dyDescent="0.2">
      <c r="A542"/>
      <c r="B542"/>
      <c r="C542"/>
      <c r="H542"/>
      <c r="I542"/>
      <c r="J542"/>
      <c r="K542"/>
      <c r="L542"/>
      <c r="M542"/>
      <c r="N542"/>
      <c r="O542"/>
      <c r="P542"/>
    </row>
    <row r="543" spans="1:18" x14ac:dyDescent="0.2">
      <c r="A543"/>
      <c r="B543"/>
      <c r="C543"/>
      <c r="H543"/>
      <c r="I543"/>
      <c r="J543"/>
      <c r="K543"/>
      <c r="L543"/>
      <c r="M543"/>
      <c r="N543"/>
      <c r="O543"/>
      <c r="P543"/>
    </row>
    <row r="544" spans="1:18" x14ac:dyDescent="0.2">
      <c r="A544"/>
      <c r="B544"/>
      <c r="C544"/>
      <c r="H544"/>
      <c r="I544"/>
      <c r="J544"/>
      <c r="K544"/>
      <c r="L544"/>
      <c r="M544"/>
      <c r="N544"/>
      <c r="O544"/>
      <c r="P544"/>
    </row>
    <row r="545" spans="1:16" x14ac:dyDescent="0.2">
      <c r="A545"/>
      <c r="B545"/>
      <c r="C545"/>
      <c r="H545"/>
      <c r="I545"/>
      <c r="J545"/>
      <c r="K545"/>
      <c r="L545"/>
      <c r="M545"/>
      <c r="N545"/>
      <c r="O545"/>
      <c r="P545"/>
    </row>
    <row r="546" spans="1:16" ht="12" customHeight="1" x14ac:dyDescent="0.2">
      <c r="A546"/>
      <c r="B546"/>
      <c r="C546"/>
      <c r="H546"/>
      <c r="I546"/>
      <c r="J546"/>
      <c r="K546"/>
      <c r="L546"/>
      <c r="M546"/>
      <c r="N546"/>
      <c r="O546"/>
      <c r="P546"/>
    </row>
    <row r="547" spans="1:16" ht="12" customHeight="1" x14ac:dyDescent="0.2">
      <c r="A547"/>
      <c r="B547"/>
      <c r="C547"/>
      <c r="H547"/>
      <c r="I547"/>
      <c r="J547"/>
      <c r="K547"/>
      <c r="L547"/>
      <c r="M547"/>
      <c r="N547"/>
      <c r="O547"/>
      <c r="P547"/>
    </row>
    <row r="548" spans="1:16" ht="12" customHeight="1" x14ac:dyDescent="0.2">
      <c r="A548"/>
      <c r="B548"/>
      <c r="C548"/>
      <c r="H548"/>
      <c r="I548"/>
      <c r="J548"/>
      <c r="K548"/>
      <c r="L548"/>
      <c r="M548"/>
      <c r="N548"/>
      <c r="O548"/>
      <c r="P548"/>
    </row>
    <row r="549" spans="1:16" ht="12" customHeight="1" x14ac:dyDescent="0.2">
      <c r="A549"/>
      <c r="B549"/>
      <c r="C549"/>
      <c r="H549"/>
      <c r="I549"/>
      <c r="J549"/>
      <c r="K549"/>
      <c r="L549"/>
      <c r="M549"/>
      <c r="N549"/>
      <c r="O549"/>
      <c r="P549"/>
    </row>
    <row r="550" spans="1:16" ht="12" customHeight="1" x14ac:dyDescent="0.2">
      <c r="A550"/>
      <c r="B550"/>
      <c r="C550"/>
      <c r="H550"/>
      <c r="I550"/>
      <c r="J550"/>
      <c r="K550"/>
      <c r="L550"/>
      <c r="M550"/>
      <c r="N550"/>
      <c r="O550"/>
      <c r="P550"/>
    </row>
    <row r="551" spans="1:16" ht="15" customHeight="1" x14ac:dyDescent="0.2">
      <c r="A551"/>
      <c r="B551"/>
      <c r="C551"/>
      <c r="H551"/>
      <c r="I551"/>
      <c r="J551"/>
      <c r="K551"/>
      <c r="L551"/>
      <c r="M551"/>
      <c r="N551"/>
      <c r="O551"/>
      <c r="P551"/>
    </row>
    <row r="552" spans="1:16" ht="15" customHeight="1" x14ac:dyDescent="0.2">
      <c r="A552"/>
      <c r="B552"/>
      <c r="C552"/>
      <c r="H552"/>
      <c r="I552"/>
      <c r="J552"/>
      <c r="K552"/>
      <c r="L552"/>
      <c r="M552"/>
      <c r="N552"/>
      <c r="O552"/>
      <c r="P552"/>
    </row>
    <row r="553" spans="1:16" x14ac:dyDescent="0.2">
      <c r="A553"/>
      <c r="B553"/>
      <c r="C553"/>
      <c r="H553"/>
      <c r="I553"/>
      <c r="J553"/>
      <c r="K553"/>
      <c r="L553"/>
      <c r="M553"/>
      <c r="N553"/>
      <c r="O553"/>
      <c r="P553"/>
    </row>
    <row r="554" spans="1:16" ht="12" customHeight="1" x14ac:dyDescent="0.2">
      <c r="A554"/>
      <c r="B554"/>
      <c r="C554"/>
      <c r="H554"/>
      <c r="I554"/>
      <c r="J554"/>
      <c r="K554"/>
      <c r="L554"/>
      <c r="M554"/>
      <c r="N554"/>
      <c r="O554"/>
      <c r="P554"/>
    </row>
    <row r="555" spans="1:16" ht="12" customHeight="1" x14ac:dyDescent="0.2">
      <c r="A555"/>
      <c r="B555"/>
      <c r="C555"/>
      <c r="H555"/>
      <c r="I555"/>
      <c r="J555"/>
      <c r="K555"/>
      <c r="L555"/>
      <c r="M555"/>
      <c r="N555"/>
      <c r="O555"/>
      <c r="P555"/>
    </row>
    <row r="556" spans="1:16" ht="12" customHeight="1" x14ac:dyDescent="0.2">
      <c r="A556"/>
      <c r="B556"/>
      <c r="C556"/>
      <c r="H556"/>
      <c r="I556"/>
      <c r="J556"/>
      <c r="K556"/>
      <c r="L556"/>
      <c r="M556"/>
      <c r="N556"/>
      <c r="O556"/>
      <c r="P556"/>
    </row>
    <row r="557" spans="1:16" ht="12" customHeight="1" x14ac:dyDescent="0.2">
      <c r="A557"/>
      <c r="B557"/>
      <c r="C557"/>
      <c r="H557"/>
      <c r="I557"/>
      <c r="J557"/>
      <c r="K557"/>
      <c r="L557"/>
      <c r="M557"/>
      <c r="N557"/>
      <c r="O557"/>
      <c r="P557"/>
    </row>
    <row r="558" spans="1:16" ht="12" customHeight="1" x14ac:dyDescent="0.2">
      <c r="A558"/>
      <c r="B558"/>
      <c r="C558"/>
      <c r="H558"/>
      <c r="I558"/>
      <c r="J558"/>
      <c r="K558"/>
      <c r="L558"/>
      <c r="M558"/>
      <c r="N558"/>
      <c r="O558"/>
      <c r="P558"/>
    </row>
    <row r="559" spans="1:16" x14ac:dyDescent="0.2">
      <c r="A559"/>
      <c r="B559"/>
      <c r="C559"/>
      <c r="H559"/>
      <c r="I559"/>
      <c r="J559"/>
      <c r="K559"/>
      <c r="L559"/>
      <c r="M559"/>
      <c r="N559"/>
      <c r="O559"/>
      <c r="P559"/>
    </row>
    <row r="560" spans="1:16" x14ac:dyDescent="0.2">
      <c r="A560"/>
      <c r="B560"/>
      <c r="C560"/>
      <c r="H560"/>
      <c r="I560"/>
      <c r="J560"/>
      <c r="K560"/>
      <c r="L560"/>
      <c r="M560"/>
      <c r="N560"/>
      <c r="O560"/>
      <c r="P560"/>
    </row>
    <row r="561" spans="1:16" ht="12" customHeight="1" x14ac:dyDescent="0.2">
      <c r="A561"/>
      <c r="B561"/>
      <c r="C561"/>
      <c r="H561"/>
      <c r="I561"/>
      <c r="J561"/>
      <c r="K561"/>
      <c r="L561"/>
      <c r="M561"/>
      <c r="N561"/>
      <c r="O561"/>
      <c r="P561"/>
    </row>
    <row r="562" spans="1:16" ht="12" customHeight="1" x14ac:dyDescent="0.2">
      <c r="A562"/>
      <c r="B562"/>
      <c r="C562"/>
      <c r="H562"/>
      <c r="I562"/>
      <c r="J562"/>
      <c r="K562"/>
      <c r="L562"/>
      <c r="M562"/>
      <c r="N562"/>
      <c r="O562"/>
      <c r="P562"/>
    </row>
    <row r="563" spans="1:16" ht="12" customHeight="1" x14ac:dyDescent="0.2">
      <c r="A563"/>
      <c r="B563"/>
      <c r="C563"/>
      <c r="H563"/>
      <c r="I563"/>
      <c r="J563"/>
      <c r="K563"/>
      <c r="L563"/>
      <c r="M563"/>
      <c r="N563"/>
      <c r="O563"/>
      <c r="P563"/>
    </row>
    <row r="564" spans="1:16" ht="12" customHeight="1" x14ac:dyDescent="0.2">
      <c r="A564"/>
      <c r="B564"/>
      <c r="C564"/>
      <c r="H564"/>
      <c r="I564"/>
      <c r="J564"/>
      <c r="K564"/>
      <c r="L564"/>
      <c r="M564"/>
      <c r="N564"/>
      <c r="O564"/>
      <c r="P564"/>
    </row>
    <row r="565" spans="1:16" ht="12" customHeight="1" x14ac:dyDescent="0.2">
      <c r="A565"/>
      <c r="B565"/>
      <c r="C565"/>
      <c r="H565"/>
      <c r="I565"/>
      <c r="J565"/>
      <c r="K565"/>
      <c r="L565"/>
      <c r="M565"/>
      <c r="N565"/>
      <c r="O565"/>
      <c r="P565"/>
    </row>
    <row r="566" spans="1:16" ht="12" customHeight="1" x14ac:dyDescent="0.2">
      <c r="A566"/>
      <c r="B566"/>
      <c r="C566"/>
      <c r="H566"/>
      <c r="I566"/>
      <c r="J566"/>
      <c r="K566"/>
      <c r="L566"/>
      <c r="M566"/>
      <c r="N566"/>
      <c r="O566"/>
      <c r="P566"/>
    </row>
    <row r="567" spans="1:16" ht="12" customHeight="1" x14ac:dyDescent="0.2">
      <c r="A567"/>
      <c r="B567"/>
      <c r="C567"/>
      <c r="H567"/>
      <c r="I567"/>
      <c r="J567"/>
      <c r="K567"/>
      <c r="L567"/>
      <c r="M567"/>
      <c r="N567"/>
      <c r="O567"/>
      <c r="P567"/>
    </row>
    <row r="568" spans="1:16" x14ac:dyDescent="0.2">
      <c r="A568"/>
      <c r="B568"/>
      <c r="C568"/>
      <c r="H568"/>
      <c r="I568"/>
      <c r="J568"/>
      <c r="K568"/>
      <c r="L568"/>
      <c r="M568"/>
      <c r="N568"/>
      <c r="O568"/>
      <c r="P568"/>
    </row>
    <row r="569" spans="1:16" ht="12" customHeight="1" x14ac:dyDescent="0.2">
      <c r="A569"/>
      <c r="B569"/>
      <c r="C569"/>
      <c r="H569"/>
      <c r="I569"/>
      <c r="J569"/>
      <c r="K569"/>
      <c r="L569"/>
      <c r="M569"/>
      <c r="N569"/>
      <c r="O569"/>
      <c r="P569"/>
    </row>
    <row r="570" spans="1:16" ht="12" customHeight="1" x14ac:dyDescent="0.2">
      <c r="A570"/>
      <c r="B570"/>
      <c r="C570"/>
      <c r="H570"/>
      <c r="I570"/>
      <c r="J570"/>
      <c r="K570"/>
      <c r="L570"/>
      <c r="M570"/>
      <c r="N570"/>
      <c r="O570"/>
      <c r="P570"/>
    </row>
    <row r="571" spans="1:16" ht="12" customHeight="1" x14ac:dyDescent="0.2">
      <c r="A571"/>
      <c r="B571"/>
      <c r="C571"/>
      <c r="H571"/>
      <c r="I571"/>
      <c r="J571"/>
      <c r="K571"/>
      <c r="L571"/>
      <c r="M571"/>
      <c r="N571"/>
      <c r="O571"/>
      <c r="P571"/>
    </row>
    <row r="572" spans="1:16" ht="12" customHeight="1" x14ac:dyDescent="0.2">
      <c r="A572"/>
      <c r="B572"/>
      <c r="C572"/>
      <c r="H572"/>
      <c r="I572"/>
      <c r="J572"/>
      <c r="K572"/>
      <c r="L572"/>
      <c r="M572"/>
      <c r="N572"/>
      <c r="O572"/>
      <c r="P572"/>
    </row>
    <row r="573" spans="1:16" ht="12" customHeight="1" x14ac:dyDescent="0.2">
      <c r="A573"/>
      <c r="B573"/>
      <c r="C573"/>
      <c r="H573"/>
      <c r="I573"/>
      <c r="J573"/>
      <c r="K573"/>
      <c r="L573"/>
      <c r="M573"/>
      <c r="N573"/>
      <c r="O573"/>
      <c r="P573"/>
    </row>
    <row r="574" spans="1:16" ht="12" customHeight="1" x14ac:dyDescent="0.2">
      <c r="A574"/>
      <c r="B574"/>
      <c r="C574"/>
      <c r="H574"/>
      <c r="I574"/>
      <c r="J574"/>
      <c r="K574"/>
      <c r="L574"/>
      <c r="M574"/>
      <c r="N574"/>
      <c r="O574"/>
      <c r="P574"/>
    </row>
    <row r="575" spans="1:16" ht="12" customHeight="1" x14ac:dyDescent="0.2">
      <c r="A575"/>
      <c r="B575"/>
      <c r="C575"/>
      <c r="H575"/>
      <c r="I575"/>
      <c r="J575"/>
      <c r="K575"/>
      <c r="L575"/>
      <c r="M575"/>
      <c r="N575"/>
      <c r="O575"/>
      <c r="P575"/>
    </row>
    <row r="576" spans="1:16" x14ac:dyDescent="0.2">
      <c r="A576"/>
      <c r="B576"/>
      <c r="C576"/>
      <c r="H576"/>
      <c r="I576"/>
      <c r="J576"/>
      <c r="K576"/>
      <c r="L576"/>
      <c r="M576"/>
      <c r="N576"/>
      <c r="O576"/>
      <c r="P576"/>
    </row>
    <row r="577" spans="1:16" ht="12" customHeight="1" x14ac:dyDescent="0.2">
      <c r="A577"/>
      <c r="B577"/>
      <c r="C577"/>
      <c r="H577"/>
      <c r="I577"/>
      <c r="J577"/>
      <c r="K577"/>
      <c r="L577"/>
      <c r="M577"/>
      <c r="N577"/>
      <c r="O577"/>
      <c r="P577"/>
    </row>
    <row r="578" spans="1:16" ht="12" customHeight="1" x14ac:dyDescent="0.2">
      <c r="A578"/>
      <c r="B578"/>
      <c r="C578"/>
      <c r="H578"/>
      <c r="I578"/>
      <c r="J578"/>
      <c r="K578"/>
      <c r="L578"/>
      <c r="M578"/>
      <c r="N578"/>
      <c r="O578"/>
      <c r="P578"/>
    </row>
    <row r="579" spans="1:16" ht="12" customHeight="1" x14ac:dyDescent="0.2">
      <c r="A579"/>
      <c r="B579"/>
      <c r="C579"/>
      <c r="H579"/>
      <c r="I579"/>
      <c r="J579"/>
      <c r="K579"/>
      <c r="L579"/>
      <c r="M579"/>
      <c r="N579"/>
      <c r="O579"/>
      <c r="P579"/>
    </row>
    <row r="580" spans="1:16" ht="12" customHeight="1" x14ac:dyDescent="0.2">
      <c r="A580"/>
      <c r="B580"/>
      <c r="C580"/>
      <c r="H580"/>
      <c r="I580"/>
      <c r="J580"/>
      <c r="K580"/>
      <c r="L580"/>
      <c r="M580"/>
      <c r="N580"/>
      <c r="O580"/>
      <c r="P580"/>
    </row>
    <row r="581" spans="1:16" ht="12" customHeight="1" x14ac:dyDescent="0.2">
      <c r="A581"/>
      <c r="B581"/>
      <c r="C581"/>
      <c r="H581"/>
      <c r="I581"/>
      <c r="J581"/>
      <c r="K581"/>
      <c r="L581"/>
      <c r="M581"/>
      <c r="N581"/>
      <c r="O581"/>
      <c r="P581"/>
    </row>
    <row r="582" spans="1:16" ht="12" customHeight="1" x14ac:dyDescent="0.2">
      <c r="A582"/>
      <c r="B582"/>
      <c r="C582"/>
      <c r="H582"/>
      <c r="I582"/>
      <c r="J582"/>
      <c r="K582"/>
      <c r="L582"/>
      <c r="M582"/>
      <c r="N582"/>
      <c r="O582"/>
      <c r="P582"/>
    </row>
    <row r="583" spans="1:16" ht="12" customHeight="1" x14ac:dyDescent="0.2">
      <c r="A583"/>
      <c r="B583"/>
      <c r="C583"/>
      <c r="H583"/>
      <c r="I583"/>
      <c r="J583"/>
      <c r="K583"/>
      <c r="L583"/>
      <c r="M583"/>
      <c r="N583"/>
      <c r="O583"/>
      <c r="P583"/>
    </row>
    <row r="584" spans="1:16" x14ac:dyDescent="0.2">
      <c r="A584"/>
      <c r="B584"/>
      <c r="C584"/>
      <c r="H584"/>
      <c r="I584"/>
      <c r="J584"/>
      <c r="K584"/>
      <c r="L584"/>
      <c r="M584"/>
      <c r="N584"/>
      <c r="O584"/>
      <c r="P584"/>
    </row>
    <row r="585" spans="1:16" ht="12" customHeight="1" x14ac:dyDescent="0.2">
      <c r="A585"/>
      <c r="B585"/>
      <c r="C585"/>
      <c r="H585"/>
      <c r="I585"/>
      <c r="J585"/>
      <c r="K585"/>
      <c r="L585"/>
      <c r="M585"/>
      <c r="N585"/>
      <c r="O585"/>
      <c r="P585"/>
    </row>
    <row r="586" spans="1:16" ht="12" customHeight="1" x14ac:dyDescent="0.2">
      <c r="A586"/>
      <c r="B586"/>
      <c r="C586"/>
      <c r="H586"/>
      <c r="I586"/>
      <c r="J586"/>
      <c r="K586"/>
      <c r="L586"/>
      <c r="M586"/>
      <c r="N586"/>
      <c r="O586"/>
      <c r="P586"/>
    </row>
    <row r="587" spans="1:16" ht="12" customHeight="1" x14ac:dyDescent="0.2">
      <c r="A587"/>
      <c r="B587"/>
      <c r="C587"/>
      <c r="H587"/>
      <c r="I587"/>
      <c r="J587"/>
      <c r="K587"/>
      <c r="L587"/>
      <c r="M587"/>
      <c r="N587"/>
      <c r="O587"/>
      <c r="P587"/>
    </row>
    <row r="588" spans="1:16" ht="12" customHeight="1" x14ac:dyDescent="0.2">
      <c r="A588"/>
      <c r="B588"/>
      <c r="C588"/>
      <c r="H588"/>
      <c r="I588"/>
      <c r="J588"/>
      <c r="K588"/>
      <c r="L588"/>
      <c r="M588"/>
      <c r="N588"/>
      <c r="O588"/>
      <c r="P588"/>
    </row>
    <row r="589" spans="1:16" ht="12" customHeight="1" x14ac:dyDescent="0.2">
      <c r="A589"/>
      <c r="B589"/>
      <c r="C589"/>
      <c r="H589"/>
      <c r="I589"/>
      <c r="J589"/>
      <c r="K589"/>
      <c r="L589"/>
      <c r="M589"/>
      <c r="N589"/>
      <c r="O589"/>
      <c r="P589"/>
    </row>
    <row r="590" spans="1:16" ht="12" customHeight="1" x14ac:dyDescent="0.2">
      <c r="A590"/>
      <c r="B590"/>
      <c r="C590"/>
      <c r="H590"/>
      <c r="I590"/>
      <c r="J590"/>
      <c r="K590"/>
      <c r="L590"/>
      <c r="M590"/>
      <c r="N590"/>
      <c r="O590"/>
      <c r="P590"/>
    </row>
    <row r="591" spans="1:16" ht="12" customHeight="1" x14ac:dyDescent="0.2">
      <c r="A591"/>
      <c r="B591"/>
      <c r="C591"/>
      <c r="H591"/>
      <c r="I591"/>
      <c r="J591"/>
      <c r="K591"/>
      <c r="L591"/>
      <c r="M591"/>
      <c r="N591"/>
      <c r="O591"/>
      <c r="P591"/>
    </row>
    <row r="592" spans="1:16" x14ac:dyDescent="0.2">
      <c r="A592"/>
      <c r="B592"/>
      <c r="C592"/>
      <c r="H592"/>
      <c r="I592"/>
      <c r="J592"/>
      <c r="K592"/>
      <c r="L592"/>
      <c r="M592"/>
      <c r="N592"/>
      <c r="O592"/>
      <c r="P592"/>
    </row>
    <row r="593" spans="1:16" ht="12" customHeight="1" x14ac:dyDescent="0.2">
      <c r="A593"/>
      <c r="B593"/>
      <c r="C593"/>
      <c r="H593"/>
      <c r="I593"/>
      <c r="J593"/>
      <c r="K593"/>
      <c r="L593"/>
      <c r="M593"/>
      <c r="N593"/>
      <c r="O593"/>
      <c r="P593"/>
    </row>
    <row r="594" spans="1:16" ht="12" customHeight="1" x14ac:dyDescent="0.2">
      <c r="A594"/>
      <c r="B594"/>
      <c r="C594"/>
      <c r="H594"/>
      <c r="I594"/>
      <c r="J594"/>
      <c r="K594"/>
      <c r="L594"/>
      <c r="M594"/>
      <c r="N594"/>
      <c r="O594"/>
      <c r="P594"/>
    </row>
    <row r="595" spans="1:16" ht="12" customHeight="1" x14ac:dyDescent="0.2">
      <c r="A595"/>
      <c r="B595"/>
      <c r="C595"/>
      <c r="H595"/>
      <c r="I595"/>
      <c r="J595"/>
      <c r="K595"/>
      <c r="L595"/>
      <c r="M595"/>
      <c r="N595"/>
      <c r="O595"/>
      <c r="P595"/>
    </row>
    <row r="596" spans="1:16" ht="12" customHeight="1" x14ac:dyDescent="0.2">
      <c r="A596"/>
      <c r="B596"/>
      <c r="C596"/>
      <c r="H596"/>
      <c r="I596"/>
      <c r="J596"/>
      <c r="K596"/>
      <c r="L596"/>
      <c r="M596"/>
      <c r="N596"/>
      <c r="O596"/>
      <c r="P596"/>
    </row>
    <row r="597" spans="1:16" ht="12" customHeight="1" x14ac:dyDescent="0.2">
      <c r="A597"/>
      <c r="B597"/>
      <c r="C597"/>
      <c r="H597"/>
      <c r="I597"/>
      <c r="J597"/>
      <c r="K597"/>
      <c r="L597"/>
      <c r="M597"/>
      <c r="N597"/>
      <c r="O597"/>
      <c r="P597"/>
    </row>
    <row r="598" spans="1:16" ht="12" customHeight="1" x14ac:dyDescent="0.2">
      <c r="A598"/>
      <c r="B598"/>
      <c r="C598"/>
      <c r="H598"/>
      <c r="I598"/>
      <c r="J598"/>
      <c r="K598"/>
      <c r="L598"/>
      <c r="M598"/>
      <c r="N598"/>
      <c r="O598"/>
      <c r="P598"/>
    </row>
    <row r="599" spans="1:16" x14ac:dyDescent="0.2">
      <c r="A599"/>
      <c r="B599"/>
      <c r="C599"/>
      <c r="H599"/>
      <c r="I599"/>
      <c r="J599"/>
      <c r="K599"/>
      <c r="L599"/>
      <c r="M599"/>
      <c r="N599"/>
      <c r="O599"/>
      <c r="P599"/>
    </row>
    <row r="600" spans="1:16" ht="12" customHeight="1" x14ac:dyDescent="0.2">
      <c r="A600"/>
      <c r="B600"/>
      <c r="C600"/>
      <c r="H600"/>
      <c r="I600"/>
      <c r="J600"/>
      <c r="K600"/>
      <c r="L600"/>
      <c r="M600"/>
      <c r="N600"/>
      <c r="O600"/>
      <c r="P600"/>
    </row>
    <row r="601" spans="1:16" ht="12" customHeight="1" x14ac:dyDescent="0.2">
      <c r="A601"/>
      <c r="B601"/>
      <c r="C601"/>
      <c r="H601"/>
      <c r="I601"/>
      <c r="J601"/>
      <c r="K601"/>
      <c r="L601"/>
      <c r="M601"/>
      <c r="N601"/>
      <c r="O601"/>
      <c r="P601"/>
    </row>
    <row r="602" spans="1:16" ht="12" customHeight="1" x14ac:dyDescent="0.2">
      <c r="A602"/>
      <c r="B602"/>
      <c r="C602"/>
      <c r="H602"/>
      <c r="I602"/>
      <c r="J602"/>
      <c r="K602"/>
      <c r="L602"/>
      <c r="M602"/>
      <c r="N602"/>
      <c r="O602"/>
      <c r="P602"/>
    </row>
    <row r="603" spans="1:16" ht="12" customHeight="1" x14ac:dyDescent="0.2">
      <c r="A603"/>
      <c r="B603"/>
      <c r="C603"/>
      <c r="H603"/>
      <c r="I603"/>
      <c r="J603"/>
      <c r="K603"/>
      <c r="L603"/>
      <c r="M603"/>
      <c r="N603"/>
      <c r="O603"/>
      <c r="P603"/>
    </row>
    <row r="604" spans="1:16" ht="12" customHeight="1" x14ac:dyDescent="0.2">
      <c r="A604"/>
      <c r="B604"/>
      <c r="C604"/>
      <c r="H604"/>
      <c r="I604"/>
      <c r="J604"/>
      <c r="K604"/>
      <c r="L604"/>
      <c r="M604"/>
      <c r="N604"/>
      <c r="O604"/>
      <c r="P604"/>
    </row>
    <row r="605" spans="1:16" ht="12" customHeight="1" x14ac:dyDescent="0.2">
      <c r="A605"/>
      <c r="B605"/>
      <c r="C605"/>
      <c r="H605"/>
      <c r="I605"/>
      <c r="J605"/>
      <c r="K605"/>
      <c r="L605"/>
      <c r="M605"/>
      <c r="N605"/>
      <c r="O605"/>
      <c r="P605"/>
    </row>
    <row r="606" spans="1:16" ht="12" customHeight="1" x14ac:dyDescent="0.2">
      <c r="A606"/>
      <c r="B606"/>
      <c r="C606"/>
      <c r="H606"/>
      <c r="I606"/>
      <c r="J606"/>
      <c r="K606"/>
      <c r="L606"/>
      <c r="M606"/>
      <c r="N606"/>
      <c r="O606"/>
      <c r="P606"/>
    </row>
    <row r="607" spans="1:16" x14ac:dyDescent="0.2">
      <c r="A607"/>
      <c r="B607"/>
      <c r="C607"/>
      <c r="H607"/>
      <c r="I607"/>
      <c r="J607"/>
      <c r="K607"/>
      <c r="L607"/>
      <c r="M607"/>
      <c r="N607"/>
      <c r="O607"/>
      <c r="P607"/>
    </row>
    <row r="608" spans="1:16" ht="12" customHeight="1" x14ac:dyDescent="0.2">
      <c r="A608"/>
      <c r="B608"/>
      <c r="C608"/>
      <c r="H608"/>
      <c r="I608"/>
      <c r="J608"/>
      <c r="K608"/>
      <c r="L608"/>
      <c r="M608"/>
      <c r="N608"/>
      <c r="O608"/>
      <c r="P608"/>
    </row>
    <row r="609" spans="1:16" ht="12" customHeight="1" x14ac:dyDescent="0.2">
      <c r="A609"/>
      <c r="B609"/>
      <c r="C609"/>
      <c r="H609"/>
      <c r="I609"/>
      <c r="J609"/>
      <c r="K609"/>
      <c r="L609"/>
      <c r="M609"/>
      <c r="N609"/>
      <c r="O609"/>
      <c r="P609"/>
    </row>
    <row r="610" spans="1:16" ht="12" customHeight="1" x14ac:dyDescent="0.2">
      <c r="A610"/>
      <c r="B610"/>
      <c r="C610"/>
      <c r="H610"/>
      <c r="I610"/>
      <c r="J610"/>
      <c r="K610"/>
      <c r="L610"/>
      <c r="M610"/>
      <c r="N610"/>
      <c r="O610"/>
      <c r="P610"/>
    </row>
    <row r="611" spans="1:16" ht="12" customHeight="1" x14ac:dyDescent="0.2">
      <c r="A611"/>
      <c r="B611"/>
      <c r="C611"/>
      <c r="H611"/>
      <c r="I611"/>
      <c r="J611"/>
      <c r="K611"/>
      <c r="L611"/>
      <c r="M611"/>
      <c r="N611"/>
      <c r="O611"/>
      <c r="P611"/>
    </row>
    <row r="612" spans="1:16" ht="12" customHeight="1" x14ac:dyDescent="0.2">
      <c r="A612"/>
      <c r="B612"/>
      <c r="C612"/>
      <c r="H612"/>
      <c r="I612"/>
      <c r="J612"/>
      <c r="K612"/>
      <c r="L612"/>
      <c r="M612"/>
      <c r="N612"/>
      <c r="O612"/>
      <c r="P612"/>
    </row>
    <row r="613" spans="1:16" ht="12" customHeight="1" x14ac:dyDescent="0.2">
      <c r="A613"/>
      <c r="B613"/>
      <c r="C613"/>
      <c r="H613"/>
      <c r="I613"/>
      <c r="J613"/>
      <c r="K613"/>
      <c r="L613"/>
      <c r="M613"/>
      <c r="N613"/>
      <c r="O613"/>
      <c r="P613"/>
    </row>
    <row r="614" spans="1:16" ht="12" customHeight="1" x14ac:dyDescent="0.2">
      <c r="A614"/>
      <c r="B614"/>
      <c r="C614"/>
      <c r="H614"/>
      <c r="I614"/>
      <c r="J614"/>
      <c r="K614"/>
      <c r="L614"/>
      <c r="M614"/>
      <c r="N614"/>
      <c r="O614"/>
      <c r="P614"/>
    </row>
    <row r="615" spans="1:16" x14ac:dyDescent="0.2">
      <c r="A615"/>
      <c r="B615"/>
      <c r="C615"/>
      <c r="H615"/>
      <c r="I615"/>
      <c r="J615"/>
      <c r="K615"/>
      <c r="L615"/>
      <c r="M615"/>
      <c r="N615"/>
      <c r="O615"/>
      <c r="P615"/>
    </row>
    <row r="616" spans="1:16" ht="12" customHeight="1" x14ac:dyDescent="0.2">
      <c r="A616"/>
      <c r="B616"/>
      <c r="C616"/>
      <c r="H616"/>
      <c r="I616"/>
      <c r="J616"/>
      <c r="K616"/>
      <c r="L616"/>
      <c r="M616"/>
      <c r="N616"/>
      <c r="O616"/>
      <c r="P616"/>
    </row>
    <row r="617" spans="1:16" ht="12" customHeight="1" x14ac:dyDescent="0.2">
      <c r="A617"/>
      <c r="B617"/>
      <c r="C617"/>
      <c r="H617"/>
      <c r="I617"/>
      <c r="J617"/>
      <c r="K617"/>
      <c r="L617"/>
      <c r="M617"/>
      <c r="N617"/>
      <c r="O617"/>
      <c r="P617"/>
    </row>
    <row r="618" spans="1:16" ht="12" customHeight="1" x14ac:dyDescent="0.2">
      <c r="A618"/>
      <c r="B618"/>
      <c r="C618"/>
      <c r="H618"/>
      <c r="I618"/>
      <c r="J618"/>
      <c r="K618"/>
      <c r="L618"/>
      <c r="M618"/>
      <c r="N618"/>
      <c r="O618"/>
      <c r="P618"/>
    </row>
    <row r="619" spans="1:16" ht="12" customHeight="1" x14ac:dyDescent="0.2">
      <c r="A619"/>
      <c r="B619"/>
      <c r="C619"/>
      <c r="H619"/>
      <c r="I619"/>
      <c r="J619"/>
      <c r="K619"/>
      <c r="L619"/>
      <c r="M619"/>
      <c r="N619"/>
      <c r="O619"/>
      <c r="P619"/>
    </row>
    <row r="620" spans="1:16" ht="12" customHeight="1" x14ac:dyDescent="0.2">
      <c r="A620"/>
      <c r="B620"/>
      <c r="C620"/>
      <c r="H620"/>
      <c r="I620"/>
      <c r="J620"/>
      <c r="K620"/>
      <c r="L620"/>
      <c r="M620"/>
      <c r="N620"/>
      <c r="O620"/>
      <c r="P620"/>
    </row>
    <row r="621" spans="1:16" ht="12" customHeight="1" x14ac:dyDescent="0.2">
      <c r="A621"/>
      <c r="B621"/>
      <c r="C621"/>
      <c r="H621"/>
      <c r="I621"/>
      <c r="J621"/>
      <c r="K621"/>
      <c r="L621"/>
      <c r="M621"/>
      <c r="N621"/>
      <c r="O621"/>
      <c r="P621"/>
    </row>
    <row r="622" spans="1:16" ht="12" customHeight="1" x14ac:dyDescent="0.2">
      <c r="A622"/>
      <c r="B622"/>
      <c r="C622"/>
      <c r="H622"/>
      <c r="I622"/>
      <c r="J622"/>
      <c r="K622"/>
      <c r="L622"/>
      <c r="M622"/>
      <c r="N622"/>
      <c r="O622"/>
      <c r="P622"/>
    </row>
    <row r="623" spans="1:16" x14ac:dyDescent="0.2">
      <c r="A623"/>
      <c r="B623"/>
      <c r="C623"/>
      <c r="H623"/>
      <c r="I623"/>
      <c r="J623"/>
      <c r="K623"/>
      <c r="L623"/>
      <c r="M623"/>
      <c r="N623"/>
      <c r="O623"/>
      <c r="P623"/>
    </row>
    <row r="624" spans="1:16" ht="12" customHeight="1" x14ac:dyDescent="0.2">
      <c r="A624"/>
      <c r="B624"/>
      <c r="C624"/>
      <c r="H624"/>
      <c r="I624"/>
      <c r="J624"/>
      <c r="K624"/>
      <c r="L624"/>
      <c r="M624"/>
      <c r="N624"/>
      <c r="O624"/>
      <c r="P624"/>
    </row>
    <row r="625" spans="1:16" ht="12" customHeight="1" x14ac:dyDescent="0.2">
      <c r="A625"/>
      <c r="B625"/>
      <c r="C625"/>
      <c r="H625"/>
      <c r="I625"/>
      <c r="J625"/>
      <c r="K625"/>
      <c r="L625"/>
      <c r="M625"/>
      <c r="N625"/>
      <c r="O625"/>
      <c r="P625"/>
    </row>
    <row r="626" spans="1:16" ht="12" customHeight="1" x14ac:dyDescent="0.2">
      <c r="A626"/>
      <c r="B626"/>
      <c r="C626"/>
      <c r="H626"/>
      <c r="I626"/>
      <c r="J626"/>
      <c r="K626"/>
      <c r="L626"/>
      <c r="M626"/>
      <c r="N626"/>
      <c r="O626"/>
      <c r="P626"/>
    </row>
    <row r="627" spans="1:16" x14ac:dyDescent="0.2">
      <c r="A627"/>
      <c r="B627"/>
      <c r="C627"/>
      <c r="H627"/>
      <c r="I627"/>
      <c r="J627"/>
      <c r="K627"/>
      <c r="L627"/>
      <c r="M627"/>
      <c r="N627"/>
      <c r="O627"/>
      <c r="P627"/>
    </row>
    <row r="628" spans="1:16" ht="12.75" customHeight="1" x14ac:dyDescent="0.2">
      <c r="A628"/>
      <c r="B628"/>
      <c r="C628"/>
      <c r="H628"/>
      <c r="I628"/>
      <c r="J628"/>
      <c r="K628"/>
      <c r="L628"/>
      <c r="M628"/>
      <c r="N628"/>
      <c r="O628"/>
      <c r="P628"/>
    </row>
    <row r="629" spans="1:16" x14ac:dyDescent="0.2">
      <c r="A629"/>
      <c r="B629"/>
      <c r="C629"/>
      <c r="H629"/>
      <c r="I629"/>
      <c r="J629"/>
      <c r="K629"/>
      <c r="L629"/>
      <c r="M629"/>
      <c r="N629"/>
      <c r="O629"/>
      <c r="P629"/>
    </row>
    <row r="630" spans="1:16" ht="12" customHeight="1" x14ac:dyDescent="0.2">
      <c r="A630"/>
      <c r="B630"/>
      <c r="C630"/>
      <c r="H630"/>
      <c r="I630"/>
      <c r="J630"/>
      <c r="K630"/>
      <c r="L630"/>
      <c r="M630"/>
      <c r="N630"/>
      <c r="O630"/>
      <c r="P630"/>
    </row>
    <row r="631" spans="1:16" ht="12" customHeight="1" x14ac:dyDescent="0.2">
      <c r="A631"/>
      <c r="B631"/>
      <c r="C631"/>
      <c r="H631"/>
      <c r="I631"/>
      <c r="J631"/>
      <c r="K631"/>
      <c r="L631"/>
      <c r="M631"/>
      <c r="N631"/>
      <c r="O631"/>
      <c r="P631"/>
    </row>
    <row r="632" spans="1:16" ht="12" customHeight="1" x14ac:dyDescent="0.2">
      <c r="A632"/>
      <c r="B632"/>
      <c r="C632"/>
      <c r="H632"/>
      <c r="I632"/>
      <c r="J632"/>
      <c r="K632"/>
      <c r="L632"/>
      <c r="M632"/>
      <c r="N632"/>
      <c r="O632"/>
      <c r="P632"/>
    </row>
    <row r="633" spans="1:16" ht="12" customHeight="1" x14ac:dyDescent="0.2">
      <c r="A633"/>
      <c r="B633"/>
      <c r="C633"/>
      <c r="H633"/>
      <c r="I633"/>
      <c r="J633"/>
      <c r="K633"/>
      <c r="L633"/>
      <c r="M633"/>
      <c r="N633"/>
      <c r="O633"/>
      <c r="P633"/>
    </row>
    <row r="634" spans="1:16" ht="12" customHeight="1" x14ac:dyDescent="0.2">
      <c r="A634"/>
      <c r="B634"/>
      <c r="C634"/>
      <c r="H634"/>
      <c r="I634"/>
      <c r="J634"/>
      <c r="K634"/>
      <c r="L634"/>
      <c r="M634"/>
      <c r="N634"/>
      <c r="O634"/>
      <c r="P634"/>
    </row>
    <row r="635" spans="1:16" ht="12" customHeight="1" x14ac:dyDescent="0.2">
      <c r="A635"/>
      <c r="B635"/>
      <c r="C635"/>
      <c r="H635"/>
      <c r="I635"/>
      <c r="J635"/>
      <c r="K635"/>
      <c r="L635"/>
      <c r="M635"/>
      <c r="N635"/>
      <c r="O635"/>
      <c r="P635"/>
    </row>
    <row r="636" spans="1:16" ht="12" customHeight="1" x14ac:dyDescent="0.2">
      <c r="A636"/>
      <c r="B636"/>
      <c r="C636"/>
      <c r="H636"/>
      <c r="I636"/>
      <c r="J636"/>
      <c r="K636"/>
      <c r="L636"/>
      <c r="M636"/>
      <c r="N636"/>
      <c r="O636"/>
      <c r="P636"/>
    </row>
    <row r="637" spans="1:16" ht="12" customHeight="1" x14ac:dyDescent="0.2">
      <c r="A637"/>
      <c r="B637"/>
      <c r="C637"/>
      <c r="H637"/>
      <c r="I637"/>
      <c r="J637"/>
      <c r="K637"/>
      <c r="L637"/>
      <c r="M637"/>
      <c r="N637"/>
      <c r="O637"/>
      <c r="P637"/>
    </row>
    <row r="638" spans="1:16" ht="12" customHeight="1" x14ac:dyDescent="0.2">
      <c r="A638"/>
      <c r="B638"/>
      <c r="C638"/>
      <c r="H638"/>
      <c r="I638"/>
      <c r="J638"/>
      <c r="K638"/>
      <c r="L638"/>
      <c r="M638"/>
      <c r="N638"/>
      <c r="O638"/>
      <c r="P638"/>
    </row>
    <row r="639" spans="1:16" ht="12" customHeight="1" x14ac:dyDescent="0.2">
      <c r="A639"/>
      <c r="B639"/>
      <c r="C639"/>
      <c r="H639"/>
      <c r="I639"/>
      <c r="J639"/>
      <c r="K639"/>
      <c r="L639"/>
      <c r="M639"/>
      <c r="N639"/>
      <c r="O639"/>
      <c r="P639"/>
    </row>
    <row r="640" spans="1:16" x14ac:dyDescent="0.2">
      <c r="A640"/>
      <c r="B640"/>
      <c r="C640"/>
      <c r="H640"/>
      <c r="I640"/>
      <c r="J640"/>
      <c r="K640"/>
      <c r="L640"/>
      <c r="M640"/>
      <c r="N640"/>
      <c r="O640"/>
      <c r="P640"/>
    </row>
    <row r="641" spans="1:16" ht="12" customHeight="1" x14ac:dyDescent="0.2">
      <c r="A641"/>
      <c r="B641"/>
      <c r="C641"/>
      <c r="H641"/>
      <c r="I641"/>
      <c r="J641"/>
      <c r="K641"/>
      <c r="L641"/>
      <c r="M641"/>
      <c r="N641"/>
      <c r="O641"/>
      <c r="P641"/>
    </row>
    <row r="642" spans="1:16" ht="12" customHeight="1" x14ac:dyDescent="0.2">
      <c r="A642"/>
      <c r="B642"/>
      <c r="C642"/>
      <c r="H642"/>
      <c r="I642"/>
      <c r="J642"/>
      <c r="K642"/>
      <c r="L642"/>
      <c r="M642"/>
      <c r="N642"/>
      <c r="O642"/>
      <c r="P642"/>
    </row>
    <row r="643" spans="1:16" ht="12" customHeight="1" x14ac:dyDescent="0.2">
      <c r="A643"/>
      <c r="B643"/>
      <c r="C643"/>
      <c r="H643"/>
      <c r="I643"/>
      <c r="J643"/>
      <c r="K643"/>
      <c r="L643"/>
      <c r="M643"/>
      <c r="N643"/>
      <c r="O643"/>
      <c r="P643"/>
    </row>
    <row r="644" spans="1:16" ht="12" customHeight="1" x14ac:dyDescent="0.2">
      <c r="A644"/>
      <c r="B644"/>
      <c r="C644"/>
      <c r="H644"/>
      <c r="I644"/>
      <c r="J644"/>
      <c r="K644"/>
      <c r="L644"/>
      <c r="M644"/>
      <c r="N644"/>
      <c r="O644"/>
      <c r="P644"/>
    </row>
    <row r="645" spans="1:16" ht="12" customHeight="1" x14ac:dyDescent="0.2">
      <c r="A645"/>
      <c r="B645"/>
      <c r="C645"/>
      <c r="H645"/>
      <c r="I645"/>
      <c r="J645"/>
      <c r="K645"/>
      <c r="L645"/>
      <c r="M645"/>
      <c r="N645"/>
      <c r="O645"/>
      <c r="P645"/>
    </row>
    <row r="646" spans="1:16" ht="12" customHeight="1" x14ac:dyDescent="0.2">
      <c r="A646"/>
      <c r="B646"/>
      <c r="C646"/>
      <c r="H646"/>
      <c r="I646"/>
      <c r="J646"/>
      <c r="K646"/>
      <c r="L646"/>
      <c r="M646"/>
      <c r="N646"/>
      <c r="O646"/>
      <c r="P646"/>
    </row>
    <row r="647" spans="1:16" x14ac:dyDescent="0.2">
      <c r="A647"/>
      <c r="B647"/>
      <c r="C647"/>
      <c r="H647"/>
      <c r="I647"/>
      <c r="J647"/>
      <c r="K647"/>
      <c r="L647"/>
      <c r="M647"/>
      <c r="N647"/>
      <c r="O647"/>
      <c r="P647"/>
    </row>
    <row r="648" spans="1:16" x14ac:dyDescent="0.2">
      <c r="A648"/>
      <c r="B648"/>
      <c r="C648"/>
      <c r="H648"/>
      <c r="I648"/>
      <c r="J648"/>
      <c r="K648"/>
      <c r="L648"/>
      <c r="M648"/>
      <c r="N648"/>
      <c r="O648"/>
      <c r="P648"/>
    </row>
    <row r="649" spans="1:16" x14ac:dyDescent="0.2">
      <c r="A649"/>
      <c r="B649"/>
      <c r="C649"/>
      <c r="H649"/>
      <c r="I649"/>
      <c r="J649"/>
      <c r="K649"/>
      <c r="L649"/>
      <c r="M649"/>
      <c r="N649"/>
      <c r="O649"/>
      <c r="P649"/>
    </row>
    <row r="650" spans="1:16" ht="12" customHeight="1" x14ac:dyDescent="0.2">
      <c r="A650"/>
      <c r="B650"/>
      <c r="C650"/>
      <c r="H650"/>
      <c r="I650"/>
      <c r="J650"/>
      <c r="K650"/>
      <c r="L650"/>
      <c r="M650"/>
      <c r="N650"/>
      <c r="O650"/>
      <c r="P650"/>
    </row>
    <row r="651" spans="1:16" ht="12" customHeight="1" x14ac:dyDescent="0.2">
      <c r="A651"/>
      <c r="B651"/>
      <c r="C651"/>
      <c r="H651"/>
      <c r="I651"/>
      <c r="J651"/>
      <c r="K651"/>
      <c r="L651"/>
      <c r="M651"/>
      <c r="N651"/>
      <c r="O651"/>
      <c r="P651"/>
    </row>
    <row r="652" spans="1:16" ht="12" customHeight="1" x14ac:dyDescent="0.2">
      <c r="A652"/>
      <c r="B652"/>
      <c r="C652"/>
      <c r="H652"/>
      <c r="I652"/>
      <c r="J652"/>
      <c r="K652"/>
      <c r="L652"/>
      <c r="M652"/>
      <c r="N652"/>
      <c r="O652"/>
      <c r="P652"/>
    </row>
    <row r="653" spans="1:16" x14ac:dyDescent="0.2">
      <c r="A653"/>
      <c r="B653"/>
      <c r="C653"/>
      <c r="H653"/>
      <c r="I653"/>
      <c r="J653"/>
      <c r="K653"/>
      <c r="L653"/>
      <c r="M653"/>
      <c r="N653"/>
      <c r="O653"/>
      <c r="P653"/>
    </row>
    <row r="654" spans="1:16" ht="12" customHeight="1" x14ac:dyDescent="0.2">
      <c r="A654"/>
      <c r="B654"/>
      <c r="C654"/>
      <c r="H654"/>
      <c r="I654"/>
      <c r="J654"/>
      <c r="K654"/>
      <c r="L654"/>
      <c r="M654"/>
      <c r="N654"/>
      <c r="O654"/>
      <c r="P654"/>
    </row>
    <row r="655" spans="1:16" x14ac:dyDescent="0.2">
      <c r="A655"/>
      <c r="B655"/>
      <c r="C655"/>
      <c r="H655"/>
      <c r="I655"/>
      <c r="J655"/>
      <c r="K655"/>
      <c r="L655"/>
      <c r="M655"/>
      <c r="N655"/>
      <c r="O655"/>
      <c r="P655"/>
    </row>
    <row r="656" spans="1:16" ht="15" customHeight="1" x14ac:dyDescent="0.2">
      <c r="A656"/>
      <c r="B656"/>
      <c r="C656"/>
      <c r="H656"/>
      <c r="I656"/>
      <c r="J656"/>
      <c r="K656"/>
      <c r="L656"/>
      <c r="M656"/>
      <c r="N656"/>
      <c r="O656"/>
      <c r="P656"/>
    </row>
    <row r="657" spans="1:16" ht="15" customHeight="1" x14ac:dyDescent="0.2">
      <c r="A657"/>
      <c r="B657"/>
      <c r="C657"/>
      <c r="H657"/>
      <c r="I657"/>
      <c r="J657"/>
      <c r="K657"/>
      <c r="L657"/>
      <c r="M657"/>
      <c r="N657"/>
      <c r="O657"/>
      <c r="P657"/>
    </row>
    <row r="658" spans="1:16" x14ac:dyDescent="0.2">
      <c r="A658"/>
      <c r="B658"/>
      <c r="C658"/>
      <c r="H658"/>
      <c r="I658"/>
      <c r="J658"/>
      <c r="K658"/>
      <c r="L658"/>
      <c r="M658"/>
      <c r="N658"/>
      <c r="O658"/>
      <c r="P658"/>
    </row>
    <row r="659" spans="1:16" ht="12" customHeight="1" x14ac:dyDescent="0.2">
      <c r="A659"/>
      <c r="B659"/>
      <c r="C659"/>
      <c r="H659"/>
      <c r="I659"/>
      <c r="J659"/>
      <c r="K659"/>
      <c r="L659"/>
      <c r="M659"/>
      <c r="N659"/>
      <c r="O659"/>
      <c r="P659"/>
    </row>
    <row r="660" spans="1:16" ht="12" customHeight="1" x14ac:dyDescent="0.2">
      <c r="A660"/>
      <c r="B660"/>
      <c r="C660"/>
      <c r="H660"/>
      <c r="I660"/>
      <c r="J660"/>
      <c r="K660"/>
      <c r="L660"/>
      <c r="M660"/>
      <c r="N660"/>
      <c r="O660"/>
      <c r="P660"/>
    </row>
    <row r="661" spans="1:16" ht="12" customHeight="1" x14ac:dyDescent="0.2">
      <c r="A661"/>
      <c r="B661"/>
      <c r="C661"/>
      <c r="H661"/>
      <c r="I661"/>
      <c r="J661"/>
      <c r="K661"/>
      <c r="L661"/>
      <c r="M661"/>
      <c r="N661"/>
      <c r="O661"/>
      <c r="P661"/>
    </row>
    <row r="662" spans="1:16" ht="12" customHeight="1" x14ac:dyDescent="0.2">
      <c r="A662"/>
      <c r="B662"/>
      <c r="C662"/>
      <c r="H662"/>
      <c r="I662"/>
      <c r="J662"/>
      <c r="K662"/>
      <c r="L662"/>
      <c r="M662"/>
      <c r="N662"/>
      <c r="O662"/>
      <c r="P662"/>
    </row>
    <row r="663" spans="1:16" ht="12" customHeight="1" x14ac:dyDescent="0.2">
      <c r="A663"/>
      <c r="B663"/>
      <c r="C663"/>
      <c r="H663"/>
      <c r="I663"/>
      <c r="J663"/>
      <c r="K663"/>
      <c r="L663"/>
      <c r="M663"/>
      <c r="N663"/>
      <c r="O663"/>
      <c r="P663"/>
    </row>
    <row r="664" spans="1:16" x14ac:dyDescent="0.2">
      <c r="A664"/>
      <c r="B664"/>
      <c r="C664"/>
      <c r="H664"/>
      <c r="I664"/>
      <c r="J664"/>
      <c r="K664"/>
      <c r="L664"/>
      <c r="M664"/>
      <c r="N664"/>
      <c r="O664"/>
      <c r="P664"/>
    </row>
    <row r="665" spans="1:16" x14ac:dyDescent="0.2">
      <c r="A665"/>
      <c r="B665"/>
      <c r="C665"/>
      <c r="H665"/>
      <c r="I665"/>
      <c r="J665"/>
      <c r="K665"/>
      <c r="L665"/>
      <c r="M665"/>
      <c r="N665"/>
      <c r="O665"/>
      <c r="P665"/>
    </row>
    <row r="666" spans="1:16" ht="12" customHeight="1" x14ac:dyDescent="0.2">
      <c r="A666"/>
      <c r="B666"/>
      <c r="C666"/>
      <c r="H666"/>
      <c r="I666"/>
      <c r="J666"/>
      <c r="K666"/>
      <c r="L666"/>
      <c r="M666"/>
      <c r="N666"/>
      <c r="O666"/>
      <c r="P666"/>
    </row>
    <row r="667" spans="1:16" ht="12" customHeight="1" x14ac:dyDescent="0.2">
      <c r="A667"/>
      <c r="B667"/>
      <c r="C667"/>
      <c r="H667"/>
      <c r="I667"/>
      <c r="J667"/>
      <c r="K667"/>
      <c r="L667"/>
      <c r="M667"/>
      <c r="N667"/>
      <c r="O667"/>
      <c r="P667"/>
    </row>
    <row r="668" spans="1:16" ht="12" customHeight="1" x14ac:dyDescent="0.2">
      <c r="A668"/>
      <c r="B668"/>
      <c r="C668"/>
      <c r="H668"/>
      <c r="I668"/>
      <c r="J668"/>
      <c r="K668"/>
      <c r="L668"/>
      <c r="M668"/>
      <c r="N668"/>
      <c r="O668"/>
      <c r="P668"/>
    </row>
    <row r="669" spans="1:16" ht="12" customHeight="1" x14ac:dyDescent="0.2">
      <c r="A669"/>
      <c r="B669"/>
      <c r="C669"/>
      <c r="H669"/>
      <c r="I669"/>
      <c r="J669"/>
      <c r="K669"/>
      <c r="L669"/>
      <c r="M669"/>
      <c r="N669"/>
      <c r="O669"/>
      <c r="P669"/>
    </row>
    <row r="670" spans="1:16" ht="12" customHeight="1" x14ac:dyDescent="0.2">
      <c r="A670"/>
      <c r="B670"/>
      <c r="C670"/>
      <c r="H670"/>
      <c r="I670"/>
      <c r="J670"/>
      <c r="K670"/>
      <c r="L670"/>
      <c r="M670"/>
      <c r="N670"/>
      <c r="O670"/>
      <c r="P670"/>
    </row>
    <row r="671" spans="1:16" x14ac:dyDescent="0.2">
      <c r="A671"/>
      <c r="B671"/>
      <c r="C671"/>
      <c r="H671"/>
      <c r="I671"/>
      <c r="J671"/>
      <c r="K671"/>
      <c r="L671"/>
      <c r="M671"/>
      <c r="N671"/>
      <c r="O671"/>
      <c r="P671"/>
    </row>
    <row r="672" spans="1:16" x14ac:dyDescent="0.2">
      <c r="A672"/>
      <c r="B672"/>
      <c r="C672"/>
      <c r="H672"/>
      <c r="I672"/>
      <c r="J672"/>
      <c r="K672"/>
      <c r="L672"/>
      <c r="M672"/>
      <c r="N672"/>
      <c r="O672"/>
      <c r="P672"/>
    </row>
    <row r="673" spans="1:16" x14ac:dyDescent="0.2">
      <c r="A673"/>
      <c r="B673"/>
      <c r="C673"/>
      <c r="H673"/>
      <c r="I673"/>
      <c r="J673"/>
      <c r="K673"/>
      <c r="L673"/>
      <c r="M673"/>
      <c r="N673"/>
      <c r="O673"/>
      <c r="P673"/>
    </row>
    <row r="674" spans="1:16" ht="12" customHeight="1" x14ac:dyDescent="0.2">
      <c r="A674"/>
      <c r="B674"/>
      <c r="C674"/>
      <c r="H674"/>
      <c r="I674"/>
      <c r="J674"/>
      <c r="K674"/>
      <c r="L674"/>
      <c r="M674"/>
      <c r="N674"/>
      <c r="O674"/>
      <c r="P674"/>
    </row>
    <row r="675" spans="1:16" ht="12" customHeight="1" x14ac:dyDescent="0.2">
      <c r="A675"/>
      <c r="B675"/>
      <c r="C675"/>
      <c r="H675"/>
      <c r="I675"/>
      <c r="J675"/>
      <c r="K675"/>
      <c r="L675"/>
      <c r="M675"/>
      <c r="N675"/>
      <c r="O675"/>
      <c r="P675"/>
    </row>
    <row r="676" spans="1:16" ht="12" customHeight="1" x14ac:dyDescent="0.2">
      <c r="A676"/>
      <c r="B676"/>
      <c r="C676"/>
      <c r="H676"/>
      <c r="I676"/>
      <c r="J676"/>
      <c r="K676"/>
      <c r="L676"/>
      <c r="M676"/>
      <c r="N676"/>
      <c r="O676"/>
      <c r="P676"/>
    </row>
    <row r="677" spans="1:16" ht="12" customHeight="1" x14ac:dyDescent="0.2">
      <c r="A677"/>
      <c r="B677"/>
      <c r="C677"/>
      <c r="H677"/>
      <c r="I677"/>
      <c r="J677"/>
      <c r="K677"/>
      <c r="L677"/>
      <c r="M677"/>
      <c r="N677"/>
      <c r="O677"/>
      <c r="P677"/>
    </row>
    <row r="678" spans="1:16" ht="12" customHeight="1" x14ac:dyDescent="0.2">
      <c r="A678"/>
      <c r="B678"/>
      <c r="C678"/>
      <c r="H678"/>
      <c r="I678"/>
      <c r="J678"/>
      <c r="K678"/>
      <c r="L678"/>
      <c r="M678"/>
      <c r="N678"/>
      <c r="O678"/>
      <c r="P678"/>
    </row>
    <row r="679" spans="1:16" x14ac:dyDescent="0.2">
      <c r="A679"/>
      <c r="B679"/>
      <c r="C679"/>
      <c r="H679"/>
      <c r="I679"/>
      <c r="J679"/>
      <c r="K679"/>
      <c r="L679"/>
      <c r="M679"/>
      <c r="N679"/>
      <c r="O679"/>
      <c r="P679"/>
    </row>
    <row r="680" spans="1:16" x14ac:dyDescent="0.2">
      <c r="A680"/>
      <c r="B680"/>
      <c r="C680"/>
      <c r="H680"/>
      <c r="I680"/>
      <c r="J680"/>
      <c r="K680"/>
      <c r="L680"/>
      <c r="M680"/>
      <c r="N680"/>
      <c r="O680"/>
      <c r="P680"/>
    </row>
    <row r="681" spans="1:16" ht="12" customHeight="1" x14ac:dyDescent="0.2">
      <c r="A681"/>
      <c r="B681"/>
      <c r="C681"/>
      <c r="H681"/>
      <c r="I681"/>
      <c r="J681"/>
      <c r="K681"/>
      <c r="L681"/>
      <c r="M681"/>
      <c r="N681"/>
      <c r="O681"/>
      <c r="P681"/>
    </row>
    <row r="682" spans="1:16" ht="12" customHeight="1" x14ac:dyDescent="0.2">
      <c r="A682"/>
      <c r="B682"/>
      <c r="C682"/>
      <c r="H682"/>
      <c r="I682"/>
      <c r="J682"/>
      <c r="K682"/>
      <c r="L682"/>
      <c r="M682"/>
      <c r="N682"/>
      <c r="O682"/>
      <c r="P682"/>
    </row>
    <row r="683" spans="1:16" ht="12" customHeight="1" x14ac:dyDescent="0.2">
      <c r="A683"/>
      <c r="B683"/>
      <c r="C683"/>
      <c r="H683"/>
      <c r="I683"/>
      <c r="J683"/>
      <c r="K683"/>
      <c r="L683"/>
      <c r="M683"/>
      <c r="N683"/>
      <c r="O683"/>
      <c r="P683"/>
    </row>
    <row r="684" spans="1:16" ht="12" customHeight="1" x14ac:dyDescent="0.2">
      <c r="A684"/>
      <c r="B684"/>
      <c r="C684"/>
      <c r="H684"/>
      <c r="I684"/>
      <c r="J684"/>
      <c r="K684"/>
      <c r="L684"/>
      <c r="M684"/>
      <c r="N684"/>
      <c r="O684"/>
      <c r="P684"/>
    </row>
    <row r="685" spans="1:16" ht="12" customHeight="1" x14ac:dyDescent="0.2">
      <c r="A685"/>
      <c r="B685"/>
      <c r="C685"/>
      <c r="H685"/>
      <c r="I685"/>
      <c r="J685"/>
      <c r="K685"/>
      <c r="L685"/>
      <c r="M685"/>
      <c r="N685"/>
      <c r="O685"/>
      <c r="P685"/>
    </row>
    <row r="686" spans="1:16" x14ac:dyDescent="0.2">
      <c r="A686"/>
      <c r="B686"/>
      <c r="C686"/>
      <c r="H686"/>
      <c r="I686"/>
      <c r="J686"/>
      <c r="K686"/>
      <c r="L686"/>
      <c r="M686"/>
      <c r="N686"/>
      <c r="O686"/>
      <c r="P686"/>
    </row>
    <row r="687" spans="1:16" x14ac:dyDescent="0.2">
      <c r="A687"/>
      <c r="B687"/>
      <c r="C687"/>
      <c r="H687"/>
      <c r="I687"/>
      <c r="J687"/>
      <c r="K687"/>
      <c r="L687"/>
      <c r="M687"/>
      <c r="N687"/>
      <c r="O687"/>
      <c r="P687"/>
    </row>
    <row r="688" spans="1:16" ht="12" customHeight="1" x14ac:dyDescent="0.2">
      <c r="A688"/>
      <c r="B688"/>
      <c r="C688"/>
      <c r="H688"/>
      <c r="I688"/>
      <c r="J688"/>
      <c r="K688"/>
      <c r="L688"/>
      <c r="M688"/>
      <c r="N688"/>
      <c r="O688"/>
      <c r="P688"/>
    </row>
    <row r="689" spans="1:16" ht="12" customHeight="1" x14ac:dyDescent="0.2">
      <c r="A689"/>
      <c r="B689"/>
      <c r="C689"/>
      <c r="H689"/>
      <c r="I689"/>
      <c r="J689"/>
      <c r="K689"/>
      <c r="L689"/>
      <c r="M689"/>
      <c r="N689"/>
      <c r="O689"/>
      <c r="P689"/>
    </row>
    <row r="690" spans="1:16" ht="12" customHeight="1" x14ac:dyDescent="0.2">
      <c r="A690"/>
      <c r="B690"/>
      <c r="C690"/>
      <c r="H690"/>
      <c r="I690"/>
      <c r="J690"/>
      <c r="K690"/>
      <c r="L690"/>
      <c r="M690"/>
      <c r="N690"/>
      <c r="O690"/>
      <c r="P690"/>
    </row>
    <row r="691" spans="1:16" ht="12" customHeight="1" x14ac:dyDescent="0.2">
      <c r="A691"/>
      <c r="B691"/>
      <c r="C691"/>
      <c r="H691"/>
      <c r="I691"/>
      <c r="J691"/>
      <c r="K691"/>
      <c r="L691"/>
      <c r="M691"/>
      <c r="N691"/>
      <c r="O691"/>
      <c r="P691"/>
    </row>
    <row r="692" spans="1:16" ht="12" customHeight="1" x14ac:dyDescent="0.2">
      <c r="A692"/>
      <c r="B692"/>
      <c r="C692"/>
      <c r="H692"/>
      <c r="I692"/>
      <c r="J692"/>
      <c r="K692"/>
      <c r="L692"/>
      <c r="M692"/>
      <c r="N692"/>
      <c r="O692"/>
      <c r="P692"/>
    </row>
    <row r="693" spans="1:16" x14ac:dyDescent="0.2">
      <c r="A693"/>
      <c r="B693"/>
      <c r="C693"/>
      <c r="H693"/>
      <c r="I693"/>
      <c r="J693"/>
      <c r="K693"/>
      <c r="L693"/>
      <c r="M693"/>
      <c r="N693"/>
      <c r="O693"/>
      <c r="P693"/>
    </row>
    <row r="694" spans="1:16" x14ac:dyDescent="0.2">
      <c r="A694"/>
      <c r="B694"/>
      <c r="C694"/>
      <c r="H694"/>
      <c r="I694"/>
      <c r="J694"/>
      <c r="K694"/>
      <c r="L694"/>
      <c r="M694"/>
      <c r="N694"/>
      <c r="O694"/>
      <c r="P694"/>
    </row>
    <row r="695" spans="1:16" x14ac:dyDescent="0.2">
      <c r="A695"/>
      <c r="B695"/>
      <c r="C695"/>
      <c r="H695"/>
      <c r="I695"/>
      <c r="J695"/>
      <c r="K695"/>
      <c r="L695"/>
      <c r="M695"/>
      <c r="N695"/>
      <c r="O695"/>
      <c r="P695"/>
    </row>
    <row r="696" spans="1:16" x14ac:dyDescent="0.2">
      <c r="A696"/>
      <c r="B696"/>
      <c r="C696"/>
      <c r="H696"/>
      <c r="I696"/>
      <c r="J696"/>
      <c r="K696"/>
      <c r="L696"/>
      <c r="M696"/>
      <c r="N696"/>
      <c r="O696"/>
      <c r="P696"/>
    </row>
    <row r="697" spans="1:16" ht="12" customHeight="1" x14ac:dyDescent="0.2">
      <c r="A697"/>
      <c r="B697"/>
      <c r="C697"/>
      <c r="H697"/>
      <c r="I697"/>
      <c r="J697"/>
      <c r="K697"/>
      <c r="L697"/>
      <c r="M697"/>
      <c r="N697"/>
      <c r="O697"/>
      <c r="P697"/>
    </row>
    <row r="698" spans="1:16" ht="12" customHeight="1" x14ac:dyDescent="0.2">
      <c r="A698"/>
      <c r="B698"/>
      <c r="C698"/>
      <c r="H698"/>
      <c r="I698"/>
      <c r="J698"/>
      <c r="K698"/>
      <c r="L698"/>
      <c r="M698"/>
      <c r="N698"/>
      <c r="O698"/>
      <c r="P698"/>
    </row>
    <row r="699" spans="1:16" ht="12" customHeight="1" x14ac:dyDescent="0.2">
      <c r="A699"/>
      <c r="B699"/>
      <c r="C699"/>
      <c r="H699"/>
      <c r="I699"/>
      <c r="J699"/>
      <c r="K699"/>
      <c r="L699"/>
      <c r="M699"/>
      <c r="N699"/>
      <c r="O699"/>
      <c r="P699"/>
    </row>
    <row r="700" spans="1:16" ht="12" customHeight="1" x14ac:dyDescent="0.2">
      <c r="A700"/>
      <c r="B700"/>
      <c r="C700"/>
      <c r="H700"/>
      <c r="I700"/>
      <c r="J700"/>
      <c r="K700"/>
      <c r="L700"/>
      <c r="M700"/>
      <c r="N700"/>
      <c r="O700"/>
      <c r="P700"/>
    </row>
    <row r="701" spans="1:16" ht="12" customHeight="1" x14ac:dyDescent="0.2">
      <c r="A701"/>
      <c r="B701"/>
      <c r="C701"/>
      <c r="H701"/>
      <c r="I701"/>
      <c r="J701"/>
      <c r="K701"/>
      <c r="L701"/>
      <c r="M701"/>
      <c r="N701"/>
      <c r="O701"/>
      <c r="P701"/>
    </row>
    <row r="702" spans="1:16" x14ac:dyDescent="0.2">
      <c r="A702"/>
      <c r="B702"/>
      <c r="C702"/>
      <c r="H702"/>
      <c r="I702"/>
      <c r="J702"/>
      <c r="K702"/>
      <c r="L702"/>
      <c r="M702"/>
      <c r="N702"/>
      <c r="O702"/>
      <c r="P702"/>
    </row>
    <row r="703" spans="1:16" x14ac:dyDescent="0.2">
      <c r="A703"/>
      <c r="B703"/>
      <c r="C703"/>
      <c r="H703"/>
      <c r="I703"/>
      <c r="J703"/>
      <c r="K703"/>
      <c r="L703"/>
      <c r="M703"/>
      <c r="N703"/>
      <c r="O703"/>
      <c r="P703"/>
    </row>
    <row r="704" spans="1:16" x14ac:dyDescent="0.2">
      <c r="A704"/>
      <c r="B704"/>
      <c r="C704"/>
      <c r="H704"/>
      <c r="I704"/>
      <c r="J704"/>
      <c r="K704"/>
      <c r="L704"/>
      <c r="M704"/>
      <c r="N704"/>
      <c r="O704"/>
      <c r="P704"/>
    </row>
    <row r="705" spans="1:16" ht="12" customHeight="1" x14ac:dyDescent="0.2">
      <c r="A705"/>
      <c r="B705"/>
      <c r="C705"/>
      <c r="H705"/>
      <c r="I705"/>
      <c r="J705"/>
      <c r="K705"/>
      <c r="L705"/>
      <c r="M705"/>
      <c r="N705"/>
      <c r="O705"/>
      <c r="P705"/>
    </row>
    <row r="706" spans="1:16" ht="12" customHeight="1" x14ac:dyDescent="0.2">
      <c r="A706"/>
      <c r="B706"/>
      <c r="C706"/>
      <c r="H706"/>
      <c r="I706"/>
      <c r="J706"/>
      <c r="K706"/>
      <c r="L706"/>
      <c r="M706"/>
      <c r="N706"/>
      <c r="O706"/>
      <c r="P706"/>
    </row>
    <row r="707" spans="1:16" ht="12" customHeight="1" x14ac:dyDescent="0.2">
      <c r="A707"/>
      <c r="B707"/>
      <c r="C707"/>
      <c r="H707"/>
      <c r="I707"/>
      <c r="J707"/>
      <c r="K707"/>
      <c r="L707"/>
      <c r="M707"/>
      <c r="N707"/>
      <c r="O707"/>
      <c r="P707"/>
    </row>
    <row r="708" spans="1:16" ht="12" customHeight="1" x14ac:dyDescent="0.2">
      <c r="A708"/>
      <c r="B708"/>
      <c r="C708"/>
      <c r="H708"/>
      <c r="I708"/>
      <c r="J708"/>
      <c r="K708"/>
      <c r="L708"/>
      <c r="M708"/>
      <c r="N708"/>
      <c r="O708"/>
      <c r="P708"/>
    </row>
    <row r="709" spans="1:16" ht="12" customHeight="1" x14ac:dyDescent="0.2">
      <c r="A709"/>
      <c r="B709"/>
      <c r="C709"/>
      <c r="H709"/>
      <c r="I709"/>
      <c r="J709"/>
      <c r="K709"/>
      <c r="L709"/>
      <c r="M709"/>
      <c r="N709"/>
      <c r="O709"/>
      <c r="P709"/>
    </row>
    <row r="710" spans="1:16" ht="12" customHeight="1" x14ac:dyDescent="0.2">
      <c r="A710"/>
      <c r="B710"/>
      <c r="C710"/>
      <c r="H710"/>
      <c r="I710"/>
      <c r="J710"/>
      <c r="K710"/>
      <c r="L710"/>
      <c r="M710"/>
      <c r="N710"/>
      <c r="O710"/>
      <c r="P710"/>
    </row>
    <row r="711" spans="1:16" x14ac:dyDescent="0.2">
      <c r="A711"/>
      <c r="B711"/>
      <c r="C711"/>
      <c r="H711"/>
      <c r="I711"/>
      <c r="J711"/>
      <c r="K711"/>
      <c r="L711"/>
      <c r="M711"/>
      <c r="N711"/>
      <c r="O711"/>
      <c r="P711"/>
    </row>
    <row r="712" spans="1:16" x14ac:dyDescent="0.2">
      <c r="A712"/>
      <c r="B712"/>
      <c r="C712"/>
      <c r="H712"/>
      <c r="I712"/>
      <c r="J712"/>
      <c r="K712"/>
      <c r="L712"/>
      <c r="M712"/>
      <c r="N712"/>
      <c r="O712"/>
      <c r="P712"/>
    </row>
    <row r="713" spans="1:16" x14ac:dyDescent="0.2">
      <c r="A713"/>
      <c r="B713"/>
      <c r="C713"/>
      <c r="H713"/>
      <c r="I713"/>
      <c r="J713"/>
      <c r="K713"/>
      <c r="L713"/>
      <c r="M713"/>
      <c r="N713"/>
      <c r="O713"/>
      <c r="P713"/>
    </row>
    <row r="714" spans="1:16" ht="12" customHeight="1" x14ac:dyDescent="0.2">
      <c r="A714"/>
      <c r="B714"/>
      <c r="C714"/>
      <c r="H714"/>
      <c r="I714"/>
      <c r="J714"/>
      <c r="K714"/>
      <c r="L714"/>
      <c r="M714"/>
      <c r="N714"/>
      <c r="O714"/>
      <c r="P714"/>
    </row>
    <row r="715" spans="1:16" ht="12" customHeight="1" x14ac:dyDescent="0.2">
      <c r="A715"/>
      <c r="B715"/>
      <c r="C715"/>
      <c r="H715"/>
      <c r="I715"/>
      <c r="J715"/>
      <c r="K715"/>
      <c r="L715"/>
      <c r="M715"/>
      <c r="N715"/>
      <c r="O715"/>
      <c r="P715"/>
    </row>
    <row r="716" spans="1:16" ht="12" customHeight="1" x14ac:dyDescent="0.2">
      <c r="A716"/>
      <c r="B716"/>
      <c r="C716"/>
      <c r="H716"/>
      <c r="I716"/>
      <c r="J716"/>
      <c r="K716"/>
      <c r="L716"/>
      <c r="M716"/>
      <c r="N716"/>
      <c r="O716"/>
      <c r="P716"/>
    </row>
    <row r="717" spans="1:16" ht="12" customHeight="1" x14ac:dyDescent="0.2">
      <c r="A717"/>
      <c r="B717"/>
      <c r="C717"/>
      <c r="H717"/>
      <c r="I717"/>
      <c r="J717"/>
      <c r="K717"/>
      <c r="L717"/>
      <c r="M717"/>
      <c r="N717"/>
      <c r="O717"/>
      <c r="P717"/>
    </row>
    <row r="718" spans="1:16" ht="12" customHeight="1" x14ac:dyDescent="0.2">
      <c r="A718"/>
      <c r="B718"/>
      <c r="C718"/>
      <c r="H718"/>
      <c r="I718"/>
      <c r="J718"/>
      <c r="K718"/>
      <c r="L718"/>
      <c r="M718"/>
      <c r="N718"/>
      <c r="O718"/>
      <c r="P718"/>
    </row>
    <row r="719" spans="1:16" x14ac:dyDescent="0.2">
      <c r="A719"/>
      <c r="B719"/>
      <c r="C719"/>
      <c r="H719"/>
      <c r="I719"/>
      <c r="J719"/>
      <c r="K719"/>
      <c r="L719"/>
      <c r="M719"/>
      <c r="N719"/>
      <c r="O719"/>
      <c r="P719"/>
    </row>
    <row r="720" spans="1:16" x14ac:dyDescent="0.2">
      <c r="A720"/>
      <c r="B720"/>
      <c r="C720"/>
      <c r="H720"/>
      <c r="I720"/>
      <c r="J720"/>
      <c r="K720"/>
      <c r="L720"/>
      <c r="M720"/>
      <c r="N720"/>
      <c r="O720"/>
      <c r="P720"/>
    </row>
    <row r="721" spans="1:16" x14ac:dyDescent="0.2">
      <c r="A721"/>
      <c r="B721"/>
      <c r="C721"/>
      <c r="H721"/>
      <c r="I721"/>
      <c r="J721"/>
      <c r="K721"/>
      <c r="L721"/>
      <c r="M721"/>
      <c r="N721"/>
      <c r="O721"/>
      <c r="P721"/>
    </row>
    <row r="722" spans="1:16" ht="12" customHeight="1" x14ac:dyDescent="0.2">
      <c r="A722"/>
      <c r="B722"/>
      <c r="C722"/>
      <c r="H722"/>
      <c r="I722"/>
      <c r="J722"/>
      <c r="K722"/>
      <c r="L722"/>
      <c r="M722"/>
      <c r="N722"/>
      <c r="O722"/>
      <c r="P722"/>
    </row>
    <row r="723" spans="1:16" ht="12" customHeight="1" x14ac:dyDescent="0.2">
      <c r="A723"/>
      <c r="B723"/>
      <c r="C723"/>
      <c r="H723"/>
      <c r="I723"/>
      <c r="J723"/>
      <c r="K723"/>
      <c r="L723"/>
      <c r="M723"/>
      <c r="N723"/>
      <c r="O723"/>
      <c r="P723"/>
    </row>
    <row r="724" spans="1:16" ht="12" customHeight="1" x14ac:dyDescent="0.2">
      <c r="A724"/>
      <c r="B724"/>
      <c r="C724"/>
      <c r="H724"/>
      <c r="I724"/>
      <c r="J724"/>
      <c r="K724"/>
      <c r="L724"/>
      <c r="M724"/>
      <c r="N724"/>
      <c r="O724"/>
      <c r="P724"/>
    </row>
    <row r="725" spans="1:16" ht="12" customHeight="1" x14ac:dyDescent="0.2">
      <c r="A725"/>
      <c r="B725"/>
      <c r="C725"/>
      <c r="H725"/>
      <c r="I725"/>
      <c r="J725"/>
      <c r="K725"/>
      <c r="L725"/>
      <c r="M725"/>
      <c r="N725"/>
      <c r="O725"/>
      <c r="P725"/>
    </row>
    <row r="726" spans="1:16" ht="12" customHeight="1" x14ac:dyDescent="0.2">
      <c r="A726"/>
      <c r="B726"/>
      <c r="C726"/>
      <c r="H726"/>
      <c r="I726"/>
      <c r="J726"/>
      <c r="K726"/>
      <c r="L726"/>
      <c r="M726"/>
      <c r="N726"/>
      <c r="O726"/>
      <c r="P726"/>
    </row>
    <row r="727" spans="1:16" x14ac:dyDescent="0.2">
      <c r="A727"/>
      <c r="B727"/>
      <c r="C727"/>
      <c r="H727"/>
      <c r="I727"/>
      <c r="J727"/>
      <c r="K727"/>
      <c r="L727"/>
      <c r="M727"/>
      <c r="N727"/>
      <c r="O727"/>
      <c r="P727"/>
    </row>
    <row r="728" spans="1:16" x14ac:dyDescent="0.2">
      <c r="A728"/>
      <c r="B728"/>
      <c r="C728"/>
      <c r="H728"/>
      <c r="I728"/>
      <c r="J728"/>
      <c r="K728"/>
      <c r="L728"/>
      <c r="M728"/>
      <c r="N728"/>
      <c r="O728"/>
      <c r="P728"/>
    </row>
    <row r="729" spans="1:16" x14ac:dyDescent="0.2">
      <c r="A729"/>
      <c r="B729"/>
      <c r="C729"/>
      <c r="H729"/>
      <c r="I729"/>
      <c r="J729"/>
      <c r="K729"/>
      <c r="L729"/>
      <c r="M729"/>
      <c r="N729"/>
      <c r="O729"/>
      <c r="P729"/>
    </row>
    <row r="730" spans="1:16" ht="12" customHeight="1" x14ac:dyDescent="0.2">
      <c r="A730"/>
      <c r="B730"/>
      <c r="C730"/>
      <c r="H730"/>
      <c r="I730"/>
      <c r="J730"/>
      <c r="K730"/>
      <c r="L730"/>
      <c r="M730"/>
      <c r="N730"/>
      <c r="O730"/>
      <c r="P730"/>
    </row>
    <row r="731" spans="1:16" ht="12" customHeight="1" x14ac:dyDescent="0.2">
      <c r="A731"/>
      <c r="B731"/>
      <c r="C731"/>
      <c r="H731"/>
      <c r="I731"/>
      <c r="J731"/>
      <c r="K731"/>
      <c r="L731"/>
      <c r="M731"/>
      <c r="N731"/>
      <c r="O731"/>
      <c r="P731"/>
    </row>
    <row r="732" spans="1:16" ht="12" customHeight="1" x14ac:dyDescent="0.2">
      <c r="A732"/>
      <c r="B732"/>
      <c r="C732"/>
      <c r="H732"/>
      <c r="I732"/>
      <c r="J732"/>
      <c r="K732"/>
      <c r="L732"/>
      <c r="M732"/>
      <c r="N732"/>
      <c r="O732"/>
      <c r="P732"/>
    </row>
    <row r="733" spans="1:16" ht="12" customHeight="1" x14ac:dyDescent="0.2">
      <c r="A733"/>
      <c r="B733"/>
      <c r="C733"/>
      <c r="H733"/>
      <c r="I733"/>
      <c r="J733"/>
      <c r="K733"/>
      <c r="L733"/>
      <c r="M733"/>
      <c r="N733"/>
      <c r="O733"/>
      <c r="P733"/>
    </row>
    <row r="734" spans="1:16" ht="12" customHeight="1" x14ac:dyDescent="0.2">
      <c r="A734"/>
      <c r="B734"/>
      <c r="C734"/>
      <c r="H734"/>
      <c r="I734"/>
      <c r="J734"/>
      <c r="K734"/>
      <c r="L734"/>
      <c r="M734"/>
      <c r="N734"/>
      <c r="O734"/>
      <c r="P734"/>
    </row>
    <row r="735" spans="1:16" x14ac:dyDescent="0.2">
      <c r="A735"/>
      <c r="B735"/>
      <c r="C735"/>
      <c r="H735"/>
      <c r="I735"/>
      <c r="J735"/>
      <c r="K735"/>
      <c r="L735"/>
      <c r="M735"/>
      <c r="N735"/>
      <c r="O735"/>
      <c r="P735"/>
    </row>
    <row r="736" spans="1:16" x14ac:dyDescent="0.2">
      <c r="A736"/>
      <c r="B736"/>
      <c r="C736"/>
      <c r="H736"/>
      <c r="I736"/>
      <c r="J736"/>
      <c r="K736"/>
      <c r="L736"/>
      <c r="M736"/>
      <c r="N736"/>
      <c r="O736"/>
      <c r="P736"/>
    </row>
    <row r="737" spans="1:16" x14ac:dyDescent="0.2">
      <c r="A737"/>
      <c r="B737"/>
      <c r="C737"/>
      <c r="H737"/>
      <c r="I737"/>
      <c r="J737"/>
      <c r="K737"/>
      <c r="L737"/>
      <c r="M737"/>
      <c r="N737"/>
      <c r="O737"/>
      <c r="P737"/>
    </row>
    <row r="738" spans="1:16" ht="12" customHeight="1" x14ac:dyDescent="0.2">
      <c r="A738"/>
      <c r="B738"/>
      <c r="C738"/>
      <c r="H738"/>
      <c r="I738"/>
      <c r="J738"/>
      <c r="K738"/>
      <c r="L738"/>
      <c r="M738"/>
      <c r="N738"/>
      <c r="O738"/>
      <c r="P738"/>
    </row>
    <row r="739" spans="1:16" ht="12" customHeight="1" x14ac:dyDescent="0.2">
      <c r="A739"/>
      <c r="B739"/>
      <c r="C739"/>
      <c r="H739"/>
      <c r="I739"/>
      <c r="J739"/>
      <c r="K739"/>
      <c r="L739"/>
      <c r="M739"/>
      <c r="N739"/>
      <c r="O739"/>
      <c r="P739"/>
    </row>
    <row r="740" spans="1:16" ht="12" customHeight="1" x14ac:dyDescent="0.2">
      <c r="A740"/>
      <c r="B740"/>
      <c r="C740"/>
      <c r="H740"/>
      <c r="I740"/>
      <c r="J740"/>
      <c r="K740"/>
      <c r="L740"/>
      <c r="M740"/>
      <c r="N740"/>
      <c r="O740"/>
      <c r="P740"/>
    </row>
    <row r="741" spans="1:16" ht="12" customHeight="1" x14ac:dyDescent="0.2">
      <c r="A741"/>
      <c r="B741"/>
      <c r="C741"/>
      <c r="H741"/>
      <c r="I741"/>
      <c r="J741"/>
      <c r="K741"/>
      <c r="L741"/>
      <c r="M741"/>
      <c r="N741"/>
      <c r="O741"/>
      <c r="P741"/>
    </row>
    <row r="742" spans="1:16" ht="12" customHeight="1" x14ac:dyDescent="0.2">
      <c r="A742"/>
      <c r="B742"/>
      <c r="C742"/>
      <c r="H742"/>
      <c r="I742"/>
      <c r="J742"/>
      <c r="K742"/>
      <c r="L742"/>
      <c r="M742"/>
      <c r="N742"/>
      <c r="O742"/>
      <c r="P742"/>
    </row>
    <row r="743" spans="1:16" x14ac:dyDescent="0.2">
      <c r="A743"/>
      <c r="B743"/>
      <c r="C743"/>
      <c r="H743"/>
      <c r="I743"/>
      <c r="J743"/>
      <c r="K743"/>
      <c r="L743"/>
      <c r="M743"/>
      <c r="N743"/>
      <c r="O743"/>
      <c r="P743"/>
    </row>
    <row r="744" spans="1:16" x14ac:dyDescent="0.2">
      <c r="A744"/>
      <c r="B744"/>
      <c r="C744"/>
      <c r="H744"/>
      <c r="I744"/>
      <c r="J744"/>
      <c r="K744"/>
      <c r="L744"/>
      <c r="M744"/>
      <c r="N744"/>
      <c r="O744"/>
      <c r="P744"/>
    </row>
    <row r="745" spans="1:16" x14ac:dyDescent="0.2">
      <c r="A745"/>
      <c r="B745"/>
      <c r="C745"/>
      <c r="H745"/>
      <c r="I745"/>
      <c r="J745"/>
      <c r="K745"/>
      <c r="L745"/>
      <c r="M745"/>
      <c r="N745"/>
      <c r="O745"/>
      <c r="P745"/>
    </row>
    <row r="746" spans="1:16" x14ac:dyDescent="0.2">
      <c r="A746"/>
      <c r="B746"/>
      <c r="C746"/>
      <c r="H746"/>
      <c r="I746"/>
      <c r="J746"/>
      <c r="K746"/>
      <c r="L746"/>
      <c r="M746"/>
      <c r="N746"/>
      <c r="O746"/>
      <c r="P746"/>
    </row>
    <row r="747" spans="1:16" x14ac:dyDescent="0.2">
      <c r="A747"/>
      <c r="B747"/>
      <c r="C747"/>
      <c r="H747"/>
      <c r="I747"/>
      <c r="J747"/>
      <c r="K747"/>
      <c r="L747"/>
      <c r="M747"/>
      <c r="N747"/>
      <c r="O747"/>
      <c r="P747"/>
    </row>
    <row r="748" spans="1:16" x14ac:dyDescent="0.2">
      <c r="A748"/>
      <c r="B748"/>
      <c r="C748"/>
      <c r="H748"/>
      <c r="I748"/>
      <c r="J748"/>
      <c r="K748"/>
      <c r="L748"/>
      <c r="M748"/>
      <c r="N748"/>
      <c r="O748"/>
      <c r="P748"/>
    </row>
    <row r="749" spans="1:16" x14ac:dyDescent="0.2">
      <c r="A749"/>
      <c r="B749"/>
      <c r="C749"/>
      <c r="H749"/>
      <c r="I749"/>
      <c r="J749"/>
      <c r="K749"/>
      <c r="L749"/>
      <c r="M749"/>
      <c r="N749"/>
      <c r="O749"/>
      <c r="P749"/>
    </row>
    <row r="750" spans="1:16" x14ac:dyDescent="0.2">
      <c r="A750"/>
      <c r="B750"/>
      <c r="C750"/>
      <c r="H750"/>
      <c r="I750"/>
      <c r="J750"/>
      <c r="K750"/>
      <c r="L750"/>
      <c r="M750"/>
      <c r="N750"/>
      <c r="O750"/>
      <c r="P750"/>
    </row>
    <row r="751" spans="1:16" x14ac:dyDescent="0.2">
      <c r="A751"/>
      <c r="B751"/>
      <c r="C751"/>
      <c r="H751"/>
      <c r="I751"/>
      <c r="J751"/>
      <c r="K751"/>
      <c r="L751"/>
      <c r="M751"/>
      <c r="N751"/>
      <c r="O751"/>
      <c r="P751"/>
    </row>
    <row r="752" spans="1:16" x14ac:dyDescent="0.2">
      <c r="A752"/>
      <c r="B752"/>
      <c r="C752"/>
      <c r="H752"/>
      <c r="I752"/>
      <c r="J752"/>
      <c r="K752"/>
      <c r="L752"/>
      <c r="M752"/>
      <c r="N752"/>
      <c r="O752"/>
      <c r="P752"/>
    </row>
    <row r="753" spans="1:16" x14ac:dyDescent="0.2">
      <c r="A753"/>
      <c r="B753"/>
      <c r="C753"/>
      <c r="H753"/>
      <c r="I753"/>
      <c r="J753"/>
      <c r="K753"/>
      <c r="L753"/>
      <c r="M753"/>
      <c r="N753"/>
      <c r="O753"/>
      <c r="P753"/>
    </row>
    <row r="754" spans="1:16" ht="12" customHeight="1" x14ac:dyDescent="0.2">
      <c r="A754"/>
      <c r="B754"/>
      <c r="C754"/>
      <c r="H754"/>
      <c r="I754"/>
      <c r="J754"/>
      <c r="K754"/>
      <c r="L754"/>
      <c r="M754"/>
      <c r="N754"/>
      <c r="O754"/>
      <c r="P754"/>
    </row>
    <row r="755" spans="1:16" ht="12" customHeight="1" x14ac:dyDescent="0.2">
      <c r="A755"/>
      <c r="B755"/>
      <c r="C755"/>
      <c r="H755"/>
      <c r="I755"/>
      <c r="J755"/>
      <c r="K755"/>
      <c r="L755"/>
      <c r="M755"/>
      <c r="N755"/>
      <c r="O755"/>
      <c r="P755"/>
    </row>
    <row r="756" spans="1:16" ht="12" customHeight="1" x14ac:dyDescent="0.2">
      <c r="A756"/>
      <c r="B756"/>
      <c r="C756"/>
      <c r="H756"/>
      <c r="I756"/>
      <c r="J756"/>
      <c r="K756"/>
      <c r="L756"/>
      <c r="M756"/>
      <c r="N756"/>
      <c r="O756"/>
      <c r="P756"/>
    </row>
    <row r="757" spans="1:16" ht="12" customHeight="1" x14ac:dyDescent="0.2">
      <c r="A757"/>
      <c r="B757"/>
      <c r="C757"/>
      <c r="H757"/>
      <c r="I757"/>
      <c r="J757"/>
      <c r="K757"/>
      <c r="L757"/>
      <c r="M757"/>
      <c r="N757"/>
      <c r="O757"/>
      <c r="P757"/>
    </row>
    <row r="758" spans="1:16" ht="12" customHeight="1" x14ac:dyDescent="0.2">
      <c r="A758"/>
      <c r="B758"/>
      <c r="C758"/>
      <c r="H758"/>
      <c r="I758"/>
      <c r="J758"/>
      <c r="K758"/>
      <c r="L758"/>
      <c r="M758"/>
      <c r="N758"/>
      <c r="O758"/>
      <c r="P758"/>
    </row>
    <row r="759" spans="1:16" x14ac:dyDescent="0.2">
      <c r="A759"/>
      <c r="B759"/>
      <c r="C759"/>
      <c r="H759"/>
      <c r="I759"/>
      <c r="J759"/>
      <c r="K759"/>
      <c r="L759"/>
      <c r="M759"/>
      <c r="N759"/>
      <c r="O759"/>
      <c r="P759"/>
    </row>
    <row r="760" spans="1:16" x14ac:dyDescent="0.2">
      <c r="A760"/>
      <c r="B760"/>
      <c r="C760"/>
      <c r="H760"/>
      <c r="I760"/>
      <c r="J760"/>
      <c r="K760"/>
      <c r="L760"/>
      <c r="M760"/>
      <c r="N760"/>
      <c r="O760"/>
      <c r="P760"/>
    </row>
    <row r="761" spans="1:16" x14ac:dyDescent="0.2">
      <c r="A761"/>
      <c r="B761"/>
      <c r="C761"/>
      <c r="H761"/>
      <c r="I761"/>
      <c r="J761"/>
      <c r="K761"/>
      <c r="L761"/>
      <c r="M761"/>
      <c r="N761"/>
      <c r="O761"/>
      <c r="P761"/>
    </row>
    <row r="762" spans="1:16" ht="12" customHeight="1" x14ac:dyDescent="0.2">
      <c r="A762"/>
      <c r="B762"/>
      <c r="C762"/>
      <c r="H762"/>
      <c r="I762"/>
      <c r="J762"/>
      <c r="K762"/>
      <c r="L762"/>
      <c r="M762"/>
      <c r="N762"/>
      <c r="O762"/>
      <c r="P762"/>
    </row>
    <row r="763" spans="1:16" ht="12" customHeight="1" x14ac:dyDescent="0.2">
      <c r="A763"/>
      <c r="B763"/>
      <c r="C763"/>
      <c r="H763"/>
      <c r="I763"/>
      <c r="J763"/>
      <c r="K763"/>
      <c r="L763"/>
      <c r="M763"/>
      <c r="N763"/>
      <c r="O763"/>
      <c r="P763"/>
    </row>
    <row r="764" spans="1:16" ht="12" customHeight="1" x14ac:dyDescent="0.2">
      <c r="A764"/>
      <c r="B764"/>
      <c r="C764"/>
      <c r="H764"/>
      <c r="I764"/>
      <c r="J764"/>
      <c r="K764"/>
      <c r="L764"/>
      <c r="M764"/>
      <c r="N764"/>
      <c r="O764"/>
      <c r="P764"/>
    </row>
    <row r="765" spans="1:16" ht="12" customHeight="1" x14ac:dyDescent="0.2">
      <c r="A765"/>
      <c r="B765"/>
      <c r="C765"/>
      <c r="H765"/>
      <c r="I765"/>
      <c r="J765"/>
      <c r="K765"/>
      <c r="L765"/>
      <c r="M765"/>
      <c r="N765"/>
      <c r="O765"/>
      <c r="P765"/>
    </row>
    <row r="766" spans="1:16" ht="12" customHeight="1" x14ac:dyDescent="0.2">
      <c r="A766"/>
      <c r="B766"/>
      <c r="C766"/>
      <c r="H766"/>
      <c r="I766"/>
      <c r="J766"/>
      <c r="K766"/>
      <c r="L766"/>
      <c r="M766"/>
      <c r="N766"/>
      <c r="O766"/>
      <c r="P766"/>
    </row>
    <row r="767" spans="1:16" ht="12" customHeight="1" x14ac:dyDescent="0.2">
      <c r="A767"/>
      <c r="B767"/>
      <c r="C767"/>
      <c r="H767"/>
      <c r="I767"/>
      <c r="J767"/>
      <c r="K767"/>
      <c r="L767"/>
      <c r="M767"/>
      <c r="N767"/>
      <c r="O767"/>
      <c r="P767"/>
    </row>
    <row r="768" spans="1:16" ht="15" customHeight="1" x14ac:dyDescent="0.2">
      <c r="A768"/>
      <c r="B768"/>
      <c r="C768"/>
      <c r="H768"/>
      <c r="I768"/>
      <c r="J768"/>
      <c r="K768"/>
      <c r="L768"/>
      <c r="M768"/>
      <c r="N768"/>
      <c r="O768"/>
      <c r="P768"/>
    </row>
    <row r="769" spans="1:16" x14ac:dyDescent="0.2">
      <c r="A769"/>
      <c r="B769"/>
      <c r="C769"/>
      <c r="H769"/>
      <c r="I769"/>
      <c r="J769"/>
      <c r="K769"/>
      <c r="L769"/>
      <c r="M769"/>
      <c r="N769"/>
      <c r="O769"/>
      <c r="P769"/>
    </row>
    <row r="770" spans="1:16" x14ac:dyDescent="0.2">
      <c r="A770"/>
      <c r="B770"/>
      <c r="C770"/>
      <c r="H770"/>
      <c r="I770"/>
      <c r="J770"/>
      <c r="K770"/>
      <c r="L770"/>
      <c r="M770"/>
      <c r="N770"/>
      <c r="O770"/>
      <c r="P770"/>
    </row>
    <row r="771" spans="1:16" ht="12" customHeight="1" x14ac:dyDescent="0.2">
      <c r="A771"/>
      <c r="B771"/>
      <c r="C771"/>
      <c r="H771"/>
      <c r="I771"/>
      <c r="J771"/>
      <c r="K771"/>
      <c r="L771"/>
      <c r="M771"/>
      <c r="N771"/>
      <c r="O771"/>
      <c r="P771"/>
    </row>
    <row r="772" spans="1:16" ht="12" customHeight="1" x14ac:dyDescent="0.2">
      <c r="A772"/>
      <c r="B772"/>
      <c r="C772"/>
      <c r="H772"/>
      <c r="I772"/>
      <c r="J772"/>
      <c r="K772"/>
      <c r="L772"/>
      <c r="M772"/>
      <c r="N772"/>
      <c r="O772"/>
      <c r="P772"/>
    </row>
    <row r="773" spans="1:16" ht="12" customHeight="1" x14ac:dyDescent="0.2">
      <c r="A773"/>
      <c r="B773"/>
      <c r="C773"/>
      <c r="H773"/>
      <c r="I773"/>
      <c r="J773"/>
      <c r="K773"/>
      <c r="L773"/>
      <c r="M773"/>
      <c r="N773"/>
      <c r="O773"/>
      <c r="P773"/>
    </row>
    <row r="774" spans="1:16" ht="12" customHeight="1" x14ac:dyDescent="0.2">
      <c r="A774"/>
      <c r="B774"/>
      <c r="C774"/>
      <c r="H774"/>
      <c r="I774"/>
      <c r="J774"/>
      <c r="K774"/>
      <c r="L774"/>
      <c r="M774"/>
      <c r="N774"/>
      <c r="O774"/>
      <c r="P774"/>
    </row>
    <row r="775" spans="1:16" ht="12" customHeight="1" x14ac:dyDescent="0.2">
      <c r="A775"/>
      <c r="B775"/>
      <c r="C775"/>
      <c r="H775"/>
      <c r="I775"/>
      <c r="J775"/>
      <c r="K775"/>
      <c r="L775"/>
      <c r="M775"/>
      <c r="N775"/>
      <c r="O775"/>
      <c r="P775"/>
    </row>
    <row r="776" spans="1:16" ht="12" customHeight="1" x14ac:dyDescent="0.2">
      <c r="A776"/>
      <c r="B776"/>
      <c r="C776"/>
      <c r="H776"/>
      <c r="I776"/>
      <c r="J776"/>
      <c r="K776"/>
      <c r="L776"/>
      <c r="M776"/>
      <c r="N776"/>
      <c r="O776"/>
      <c r="P776"/>
    </row>
    <row r="777" spans="1:16" ht="12" customHeight="1" x14ac:dyDescent="0.2">
      <c r="A777"/>
      <c r="B777"/>
      <c r="C777"/>
      <c r="H777"/>
      <c r="I777"/>
      <c r="J777"/>
      <c r="K777"/>
      <c r="L777"/>
      <c r="M777"/>
      <c r="N777"/>
      <c r="O777"/>
      <c r="P777"/>
    </row>
    <row r="778" spans="1:16" ht="12" customHeight="1" x14ac:dyDescent="0.2">
      <c r="A778"/>
      <c r="B778"/>
      <c r="C778"/>
      <c r="H778"/>
      <c r="I778"/>
      <c r="J778"/>
      <c r="K778"/>
      <c r="L778"/>
      <c r="M778"/>
      <c r="N778"/>
      <c r="O778"/>
      <c r="P778"/>
    </row>
    <row r="779" spans="1:16" x14ac:dyDescent="0.2">
      <c r="A779"/>
      <c r="B779"/>
      <c r="C779"/>
      <c r="H779"/>
      <c r="I779"/>
      <c r="J779"/>
      <c r="K779"/>
      <c r="L779"/>
      <c r="M779"/>
      <c r="N779"/>
      <c r="O779"/>
      <c r="P779"/>
    </row>
    <row r="780" spans="1:16" x14ac:dyDescent="0.2">
      <c r="A780"/>
      <c r="B780"/>
      <c r="C780"/>
      <c r="H780"/>
      <c r="I780"/>
      <c r="J780"/>
      <c r="K780"/>
      <c r="L780"/>
      <c r="M780"/>
      <c r="N780"/>
      <c r="O780"/>
      <c r="P780"/>
    </row>
    <row r="781" spans="1:16" x14ac:dyDescent="0.2">
      <c r="A781"/>
      <c r="B781"/>
      <c r="C781"/>
      <c r="H781"/>
      <c r="I781"/>
      <c r="J781"/>
      <c r="K781"/>
      <c r="L781"/>
      <c r="M781"/>
      <c r="N781"/>
      <c r="O781"/>
      <c r="P781"/>
    </row>
    <row r="782" spans="1:16" x14ac:dyDescent="0.2">
      <c r="A782"/>
      <c r="B782"/>
      <c r="C782"/>
      <c r="H782"/>
      <c r="I782"/>
      <c r="J782"/>
      <c r="K782"/>
      <c r="L782"/>
      <c r="M782"/>
      <c r="N782"/>
      <c r="O782"/>
      <c r="P782"/>
    </row>
    <row r="783" spans="1:16" x14ac:dyDescent="0.2">
      <c r="A783"/>
      <c r="B783"/>
      <c r="C783"/>
      <c r="H783"/>
      <c r="I783"/>
      <c r="J783"/>
      <c r="K783"/>
      <c r="L783"/>
      <c r="M783"/>
      <c r="N783"/>
      <c r="O783"/>
      <c r="P783"/>
    </row>
    <row r="784" spans="1:16" x14ac:dyDescent="0.2">
      <c r="A784"/>
      <c r="B784"/>
      <c r="C784"/>
      <c r="H784"/>
      <c r="I784"/>
      <c r="J784"/>
      <c r="K784"/>
      <c r="L784"/>
      <c r="M784"/>
      <c r="N784"/>
      <c r="O784"/>
      <c r="P784"/>
    </row>
    <row r="785" spans="1:16" x14ac:dyDescent="0.2">
      <c r="A785"/>
      <c r="B785"/>
      <c r="C785"/>
      <c r="H785"/>
      <c r="I785"/>
      <c r="J785"/>
      <c r="K785"/>
      <c r="L785"/>
      <c r="M785"/>
      <c r="N785"/>
      <c r="O785"/>
      <c r="P785"/>
    </row>
    <row r="786" spans="1:16" x14ac:dyDescent="0.2">
      <c r="A786"/>
      <c r="B786"/>
      <c r="C786"/>
      <c r="H786"/>
      <c r="I786"/>
      <c r="J786"/>
      <c r="K786"/>
      <c r="L786"/>
      <c r="M786"/>
      <c r="N786"/>
      <c r="O786"/>
      <c r="P786"/>
    </row>
    <row r="787" spans="1:16" x14ac:dyDescent="0.2">
      <c r="A787"/>
      <c r="B787"/>
      <c r="C787"/>
      <c r="H787"/>
      <c r="I787"/>
      <c r="J787"/>
      <c r="K787"/>
      <c r="L787"/>
      <c r="M787"/>
      <c r="N787"/>
      <c r="O787"/>
      <c r="P787"/>
    </row>
    <row r="788" spans="1:16" x14ac:dyDescent="0.2">
      <c r="A788"/>
      <c r="B788"/>
      <c r="C788"/>
      <c r="H788"/>
      <c r="I788"/>
      <c r="J788"/>
      <c r="K788"/>
      <c r="L788"/>
      <c r="M788"/>
      <c r="N788"/>
      <c r="O788"/>
      <c r="P788"/>
    </row>
    <row r="789" spans="1:16" x14ac:dyDescent="0.2">
      <c r="A789"/>
      <c r="B789"/>
      <c r="C789"/>
      <c r="H789"/>
      <c r="I789"/>
      <c r="J789"/>
      <c r="K789"/>
      <c r="L789"/>
      <c r="M789"/>
      <c r="N789"/>
      <c r="O789"/>
      <c r="P789"/>
    </row>
    <row r="790" spans="1:16" x14ac:dyDescent="0.2">
      <c r="A790"/>
      <c r="B790"/>
      <c r="C790"/>
      <c r="H790"/>
      <c r="I790"/>
      <c r="J790"/>
      <c r="K790"/>
      <c r="L790"/>
      <c r="M790"/>
      <c r="N790"/>
      <c r="O790"/>
      <c r="P790"/>
    </row>
    <row r="791" spans="1:16" x14ac:dyDescent="0.2">
      <c r="A791"/>
      <c r="B791"/>
      <c r="C791"/>
      <c r="H791"/>
      <c r="I791"/>
      <c r="J791"/>
      <c r="K791"/>
      <c r="L791"/>
      <c r="M791"/>
      <c r="N791"/>
      <c r="O791"/>
      <c r="P791"/>
    </row>
    <row r="792" spans="1:16" ht="12" customHeight="1" x14ac:dyDescent="0.2">
      <c r="A792"/>
      <c r="B792"/>
      <c r="C792"/>
      <c r="H792"/>
      <c r="I792"/>
      <c r="J792"/>
      <c r="K792"/>
      <c r="L792"/>
      <c r="M792"/>
      <c r="N792"/>
      <c r="O792"/>
      <c r="P792"/>
    </row>
    <row r="793" spans="1:16" ht="12" customHeight="1" x14ac:dyDescent="0.2">
      <c r="A793"/>
      <c r="B793"/>
      <c r="C793"/>
      <c r="H793"/>
      <c r="I793"/>
      <c r="J793"/>
      <c r="K793"/>
      <c r="L793"/>
      <c r="M793"/>
      <c r="N793"/>
      <c r="O793"/>
      <c r="P793"/>
    </row>
    <row r="794" spans="1:16" ht="12" customHeight="1" x14ac:dyDescent="0.2">
      <c r="A794"/>
      <c r="B794"/>
      <c r="C794"/>
      <c r="H794"/>
      <c r="I794"/>
      <c r="J794"/>
      <c r="K794"/>
      <c r="L794"/>
      <c r="M794"/>
      <c r="N794"/>
      <c r="O794"/>
      <c r="P794"/>
    </row>
    <row r="795" spans="1:16" ht="12" customHeight="1" x14ac:dyDescent="0.2">
      <c r="A795"/>
      <c r="B795"/>
      <c r="C795"/>
      <c r="H795"/>
      <c r="I795"/>
      <c r="J795"/>
      <c r="K795"/>
      <c r="L795"/>
      <c r="M795"/>
      <c r="N795"/>
      <c r="O795"/>
      <c r="P795"/>
    </row>
    <row r="796" spans="1:16" ht="12" customHeight="1" x14ac:dyDescent="0.2">
      <c r="A796"/>
      <c r="B796"/>
      <c r="C796"/>
      <c r="H796"/>
      <c r="I796"/>
      <c r="J796"/>
      <c r="K796"/>
      <c r="L796"/>
      <c r="M796"/>
      <c r="N796"/>
      <c r="O796"/>
      <c r="P796"/>
    </row>
    <row r="797" spans="1:16" ht="12" customHeight="1" x14ac:dyDescent="0.2">
      <c r="A797"/>
      <c r="B797"/>
      <c r="C797"/>
      <c r="H797"/>
      <c r="I797"/>
      <c r="J797"/>
      <c r="K797"/>
      <c r="L797"/>
      <c r="M797"/>
      <c r="N797"/>
      <c r="O797"/>
      <c r="P797"/>
    </row>
    <row r="798" spans="1:16" ht="12" customHeight="1" x14ac:dyDescent="0.2">
      <c r="A798"/>
      <c r="B798"/>
      <c r="C798"/>
      <c r="H798"/>
      <c r="I798"/>
      <c r="J798"/>
      <c r="K798"/>
      <c r="L798"/>
      <c r="M798"/>
      <c r="N798"/>
      <c r="O798"/>
      <c r="P798"/>
    </row>
    <row r="799" spans="1:16" x14ac:dyDescent="0.2">
      <c r="A799"/>
      <c r="B799"/>
      <c r="C799"/>
      <c r="H799"/>
      <c r="I799"/>
      <c r="J799"/>
      <c r="K799"/>
      <c r="L799"/>
      <c r="M799"/>
      <c r="N799"/>
      <c r="O799"/>
      <c r="P799"/>
    </row>
    <row r="800" spans="1:16" x14ac:dyDescent="0.2">
      <c r="A800"/>
      <c r="B800"/>
      <c r="C800"/>
      <c r="H800"/>
      <c r="I800"/>
      <c r="J800"/>
      <c r="K800"/>
      <c r="L800"/>
      <c r="M800"/>
      <c r="N800"/>
      <c r="O800"/>
      <c r="P800"/>
    </row>
    <row r="801" spans="1:16" x14ac:dyDescent="0.2">
      <c r="A801"/>
      <c r="B801"/>
      <c r="C801"/>
      <c r="H801"/>
      <c r="I801"/>
      <c r="J801"/>
      <c r="K801"/>
      <c r="L801"/>
      <c r="M801"/>
      <c r="N801"/>
      <c r="O801"/>
      <c r="P801"/>
    </row>
    <row r="802" spans="1:16" x14ac:dyDescent="0.2">
      <c r="A802"/>
      <c r="B802"/>
      <c r="C802"/>
      <c r="H802"/>
      <c r="I802"/>
      <c r="J802"/>
      <c r="K802"/>
      <c r="L802"/>
      <c r="M802"/>
      <c r="N802"/>
      <c r="O802"/>
      <c r="P802"/>
    </row>
    <row r="803" spans="1:16" x14ac:dyDescent="0.2">
      <c r="A803"/>
      <c r="B803"/>
      <c r="C803"/>
      <c r="H803"/>
      <c r="I803"/>
      <c r="J803"/>
      <c r="K803"/>
      <c r="L803"/>
      <c r="M803"/>
      <c r="N803"/>
      <c r="O803"/>
      <c r="P803"/>
    </row>
    <row r="804" spans="1:16" x14ac:dyDescent="0.2">
      <c r="A804"/>
      <c r="B804"/>
      <c r="C804"/>
      <c r="H804"/>
      <c r="I804"/>
      <c r="J804"/>
      <c r="K804"/>
      <c r="L804"/>
      <c r="M804"/>
      <c r="N804"/>
      <c r="O804"/>
      <c r="P804"/>
    </row>
    <row r="805" spans="1:16" x14ac:dyDescent="0.2">
      <c r="A805"/>
      <c r="B805"/>
      <c r="C805"/>
      <c r="H805"/>
      <c r="I805"/>
      <c r="J805"/>
      <c r="K805"/>
      <c r="L805"/>
      <c r="M805"/>
      <c r="N805"/>
      <c r="O805"/>
      <c r="P805"/>
    </row>
    <row r="806" spans="1:16" x14ac:dyDescent="0.2">
      <c r="A806"/>
      <c r="B806"/>
      <c r="C806"/>
      <c r="H806"/>
      <c r="I806"/>
      <c r="J806"/>
      <c r="K806"/>
      <c r="L806"/>
      <c r="M806"/>
      <c r="N806"/>
      <c r="O806"/>
      <c r="P806"/>
    </row>
    <row r="807" spans="1:16" x14ac:dyDescent="0.2">
      <c r="A807"/>
      <c r="B807"/>
      <c r="C807"/>
      <c r="H807"/>
      <c r="I807"/>
      <c r="J807"/>
      <c r="K807"/>
      <c r="L807"/>
      <c r="M807"/>
      <c r="N807"/>
      <c r="O807"/>
      <c r="P807"/>
    </row>
    <row r="808" spans="1:16" x14ac:dyDescent="0.2">
      <c r="A808"/>
      <c r="B808"/>
      <c r="C808"/>
      <c r="H808"/>
      <c r="I808"/>
      <c r="J808"/>
      <c r="K808"/>
      <c r="L808"/>
      <c r="M808"/>
      <c r="N808"/>
      <c r="O808"/>
      <c r="P808"/>
    </row>
    <row r="809" spans="1:16" x14ac:dyDescent="0.2">
      <c r="A809"/>
      <c r="B809"/>
      <c r="C809"/>
      <c r="H809"/>
      <c r="I809"/>
      <c r="J809"/>
      <c r="K809"/>
      <c r="L809"/>
      <c r="M809"/>
      <c r="N809"/>
      <c r="O809"/>
      <c r="P809"/>
    </row>
    <row r="810" spans="1:16" x14ac:dyDescent="0.2">
      <c r="A810"/>
      <c r="B810"/>
      <c r="C810"/>
      <c r="H810"/>
      <c r="I810"/>
      <c r="J810"/>
      <c r="K810"/>
      <c r="L810"/>
      <c r="M810"/>
      <c r="N810"/>
      <c r="O810"/>
      <c r="P810"/>
    </row>
    <row r="811" spans="1:16" ht="12" customHeight="1" x14ac:dyDescent="0.2">
      <c r="A811"/>
      <c r="B811"/>
      <c r="C811"/>
      <c r="H811"/>
      <c r="I811"/>
      <c r="J811"/>
      <c r="K811"/>
      <c r="L811"/>
      <c r="M811"/>
      <c r="N811"/>
      <c r="O811"/>
      <c r="P811"/>
    </row>
    <row r="812" spans="1:16" ht="12" customHeight="1" x14ac:dyDescent="0.2">
      <c r="A812"/>
      <c r="B812"/>
      <c r="C812"/>
      <c r="H812"/>
      <c r="I812"/>
      <c r="J812"/>
      <c r="K812"/>
      <c r="L812"/>
      <c r="M812"/>
      <c r="N812"/>
      <c r="O812"/>
      <c r="P812"/>
    </row>
    <row r="813" spans="1:16" ht="12" customHeight="1" x14ac:dyDescent="0.2">
      <c r="A813"/>
      <c r="B813"/>
      <c r="C813"/>
      <c r="H813"/>
      <c r="I813"/>
      <c r="J813"/>
      <c r="K813"/>
      <c r="L813"/>
      <c r="M813"/>
      <c r="N813"/>
      <c r="O813"/>
      <c r="P813"/>
    </row>
    <row r="814" spans="1:16" ht="12" customHeight="1" x14ac:dyDescent="0.2">
      <c r="A814"/>
      <c r="B814"/>
      <c r="C814"/>
      <c r="H814"/>
      <c r="I814"/>
      <c r="J814"/>
      <c r="K814"/>
      <c r="L814"/>
      <c r="M814"/>
      <c r="N814"/>
      <c r="O814"/>
      <c r="P814"/>
    </row>
    <row r="815" spans="1:16" ht="12" customHeight="1" x14ac:dyDescent="0.2">
      <c r="A815"/>
      <c r="B815"/>
      <c r="C815"/>
      <c r="H815"/>
      <c r="I815"/>
      <c r="J815"/>
      <c r="K815"/>
      <c r="L815"/>
      <c r="M815"/>
      <c r="N815"/>
      <c r="O815"/>
      <c r="P815"/>
    </row>
    <row r="816" spans="1:16" ht="12" customHeight="1" x14ac:dyDescent="0.2">
      <c r="A816"/>
      <c r="B816"/>
      <c r="C816"/>
      <c r="H816"/>
      <c r="I816"/>
      <c r="J816"/>
      <c r="K816"/>
      <c r="L816"/>
      <c r="M816"/>
      <c r="N816"/>
      <c r="O816"/>
      <c r="P816"/>
    </row>
    <row r="817" spans="1:16" ht="12" customHeight="1" x14ac:dyDescent="0.2">
      <c r="A817"/>
      <c r="B817"/>
      <c r="C817"/>
      <c r="H817"/>
      <c r="I817"/>
      <c r="J817"/>
      <c r="K817"/>
      <c r="L817"/>
      <c r="M817"/>
      <c r="N817"/>
      <c r="O817"/>
      <c r="P817"/>
    </row>
    <row r="818" spans="1:16" ht="12" customHeight="1" x14ac:dyDescent="0.2">
      <c r="A818"/>
      <c r="B818"/>
      <c r="C818"/>
      <c r="H818"/>
      <c r="I818"/>
      <c r="J818"/>
      <c r="K818"/>
      <c r="L818"/>
      <c r="M818"/>
      <c r="N818"/>
      <c r="O818"/>
      <c r="P818"/>
    </row>
    <row r="819" spans="1:16" x14ac:dyDescent="0.2">
      <c r="A819"/>
      <c r="B819"/>
      <c r="C819"/>
      <c r="H819"/>
      <c r="I819"/>
      <c r="J819"/>
      <c r="K819"/>
      <c r="L819"/>
      <c r="M819"/>
      <c r="N819"/>
      <c r="O819"/>
      <c r="P819"/>
    </row>
    <row r="820" spans="1:16" x14ac:dyDescent="0.2">
      <c r="A820"/>
      <c r="B820"/>
      <c r="C820"/>
      <c r="H820"/>
      <c r="I820"/>
      <c r="J820"/>
      <c r="K820"/>
      <c r="L820"/>
      <c r="M820"/>
      <c r="N820"/>
      <c r="O820"/>
      <c r="P820"/>
    </row>
    <row r="821" spans="1:16" x14ac:dyDescent="0.2">
      <c r="A821"/>
      <c r="B821"/>
      <c r="C821"/>
      <c r="H821"/>
      <c r="I821"/>
      <c r="J821"/>
      <c r="K821"/>
      <c r="L821"/>
      <c r="M821"/>
      <c r="N821"/>
      <c r="O821"/>
      <c r="P821"/>
    </row>
    <row r="822" spans="1:16" x14ac:dyDescent="0.2">
      <c r="A822"/>
      <c r="B822"/>
      <c r="C822"/>
      <c r="H822"/>
      <c r="I822"/>
      <c r="J822"/>
      <c r="K822"/>
      <c r="L822"/>
      <c r="M822"/>
      <c r="N822"/>
      <c r="O822"/>
      <c r="P822"/>
    </row>
    <row r="823" spans="1:16" x14ac:dyDescent="0.2">
      <c r="A823"/>
      <c r="B823"/>
      <c r="C823"/>
      <c r="H823"/>
      <c r="I823"/>
      <c r="J823"/>
      <c r="K823"/>
      <c r="L823"/>
      <c r="M823"/>
      <c r="N823"/>
      <c r="O823"/>
      <c r="P823"/>
    </row>
    <row r="824" spans="1:16" x14ac:dyDescent="0.2">
      <c r="A824"/>
      <c r="B824"/>
      <c r="C824"/>
      <c r="H824"/>
      <c r="I824"/>
      <c r="J824"/>
      <c r="K824"/>
      <c r="L824"/>
      <c r="M824"/>
      <c r="N824"/>
      <c r="O824"/>
      <c r="P824"/>
    </row>
    <row r="825" spans="1:16" x14ac:dyDescent="0.2">
      <c r="A825"/>
      <c r="B825"/>
      <c r="C825"/>
      <c r="H825"/>
      <c r="I825"/>
      <c r="J825"/>
      <c r="K825"/>
      <c r="L825"/>
      <c r="M825"/>
      <c r="N825"/>
      <c r="O825"/>
      <c r="P825"/>
    </row>
    <row r="826" spans="1:16" x14ac:dyDescent="0.2">
      <c r="A826"/>
      <c r="B826"/>
      <c r="C826"/>
      <c r="H826"/>
      <c r="I826"/>
      <c r="J826"/>
      <c r="K826"/>
      <c r="L826"/>
      <c r="M826"/>
      <c r="N826"/>
      <c r="O826"/>
      <c r="P826"/>
    </row>
    <row r="827" spans="1:16" x14ac:dyDescent="0.2">
      <c r="A827"/>
      <c r="B827"/>
      <c r="C827"/>
      <c r="H827"/>
      <c r="I827"/>
      <c r="J827"/>
      <c r="K827"/>
      <c r="L827"/>
      <c r="M827"/>
      <c r="N827"/>
      <c r="O827"/>
      <c r="P827"/>
    </row>
    <row r="828" spans="1:16" x14ac:dyDescent="0.2">
      <c r="A828"/>
      <c r="B828"/>
      <c r="C828"/>
      <c r="H828"/>
      <c r="I828"/>
      <c r="J828"/>
      <c r="K828"/>
      <c r="L828"/>
      <c r="M828"/>
      <c r="N828"/>
      <c r="O828"/>
      <c r="P828"/>
    </row>
    <row r="829" spans="1:16" x14ac:dyDescent="0.2">
      <c r="A829"/>
      <c r="B829"/>
      <c r="C829"/>
      <c r="H829"/>
      <c r="I829"/>
      <c r="J829"/>
      <c r="K829"/>
      <c r="L829"/>
      <c r="M829"/>
      <c r="N829"/>
      <c r="O829"/>
      <c r="P829"/>
    </row>
    <row r="830" spans="1:16" x14ac:dyDescent="0.2">
      <c r="A830"/>
      <c r="B830"/>
      <c r="C830"/>
      <c r="H830"/>
      <c r="I830"/>
      <c r="J830"/>
      <c r="K830"/>
      <c r="L830"/>
      <c r="M830"/>
      <c r="N830"/>
      <c r="O830"/>
      <c r="P830"/>
    </row>
    <row r="831" spans="1:16" x14ac:dyDescent="0.2">
      <c r="A831"/>
      <c r="B831"/>
      <c r="C831"/>
      <c r="H831"/>
      <c r="I831"/>
      <c r="J831"/>
      <c r="K831"/>
      <c r="L831"/>
      <c r="M831"/>
      <c r="N831"/>
      <c r="O831"/>
      <c r="P831"/>
    </row>
    <row r="832" spans="1:16" x14ac:dyDescent="0.2">
      <c r="A832"/>
      <c r="B832"/>
      <c r="C832"/>
      <c r="H832"/>
      <c r="I832"/>
      <c r="J832"/>
      <c r="K832"/>
      <c r="L832"/>
      <c r="M832"/>
      <c r="N832"/>
      <c r="O832"/>
      <c r="P832"/>
    </row>
    <row r="833" spans="1:16" ht="12" customHeight="1" x14ac:dyDescent="0.2">
      <c r="A833"/>
      <c r="B833"/>
      <c r="C833"/>
      <c r="H833"/>
      <c r="I833"/>
      <c r="J833"/>
      <c r="K833"/>
      <c r="L833"/>
      <c r="M833"/>
      <c r="N833"/>
      <c r="O833"/>
      <c r="P833"/>
    </row>
    <row r="834" spans="1:16" ht="12" customHeight="1" x14ac:dyDescent="0.2">
      <c r="A834"/>
      <c r="B834"/>
      <c r="C834"/>
      <c r="H834"/>
      <c r="I834"/>
      <c r="J834"/>
      <c r="K834"/>
      <c r="L834"/>
      <c r="M834"/>
      <c r="N834"/>
      <c r="O834"/>
      <c r="P834"/>
    </row>
    <row r="835" spans="1:16" ht="12" customHeight="1" x14ac:dyDescent="0.2">
      <c r="A835"/>
      <c r="B835"/>
      <c r="C835"/>
      <c r="H835"/>
      <c r="I835"/>
      <c r="J835"/>
      <c r="K835"/>
      <c r="L835"/>
      <c r="M835"/>
      <c r="N835"/>
      <c r="O835"/>
      <c r="P835"/>
    </row>
    <row r="836" spans="1:16" ht="12" customHeight="1" x14ac:dyDescent="0.2">
      <c r="A836"/>
      <c r="B836"/>
      <c r="C836"/>
      <c r="H836"/>
      <c r="I836"/>
      <c r="J836"/>
      <c r="K836"/>
      <c r="L836"/>
      <c r="M836"/>
      <c r="N836"/>
      <c r="O836"/>
      <c r="P836"/>
    </row>
    <row r="837" spans="1:16" ht="12" customHeight="1" x14ac:dyDescent="0.2">
      <c r="A837"/>
      <c r="B837"/>
      <c r="C837"/>
      <c r="H837"/>
      <c r="I837"/>
      <c r="J837"/>
      <c r="K837"/>
      <c r="L837"/>
      <c r="M837"/>
      <c r="N837"/>
      <c r="O837"/>
      <c r="P837"/>
    </row>
    <row r="838" spans="1:16" ht="12" customHeight="1" x14ac:dyDescent="0.2">
      <c r="A838"/>
      <c r="B838"/>
      <c r="C838"/>
      <c r="H838"/>
      <c r="I838"/>
      <c r="J838"/>
      <c r="K838"/>
      <c r="L838"/>
      <c r="M838"/>
      <c r="N838"/>
      <c r="O838"/>
      <c r="P838"/>
    </row>
    <row r="839" spans="1:16" ht="12.75" customHeight="1" x14ac:dyDescent="0.2">
      <c r="A839"/>
      <c r="B839"/>
      <c r="C839"/>
      <c r="H839"/>
      <c r="I839"/>
      <c r="J839"/>
      <c r="K839"/>
      <c r="L839"/>
      <c r="M839"/>
      <c r="N839"/>
      <c r="O839"/>
      <c r="P839"/>
    </row>
    <row r="840" spans="1:16" x14ac:dyDescent="0.2">
      <c r="A840"/>
      <c r="B840"/>
      <c r="C840"/>
      <c r="H840"/>
      <c r="I840"/>
      <c r="J840"/>
      <c r="K840"/>
      <c r="L840"/>
      <c r="M840"/>
      <c r="N840"/>
      <c r="O840"/>
      <c r="P840"/>
    </row>
    <row r="841" spans="1:16" x14ac:dyDescent="0.2">
      <c r="A841"/>
      <c r="B841"/>
      <c r="C841"/>
      <c r="H841"/>
      <c r="I841"/>
      <c r="J841"/>
      <c r="K841"/>
      <c r="L841"/>
      <c r="M841"/>
      <c r="N841"/>
      <c r="O841"/>
      <c r="P841"/>
    </row>
    <row r="842" spans="1:16" x14ac:dyDescent="0.2">
      <c r="A842"/>
      <c r="B842"/>
      <c r="C842"/>
      <c r="H842"/>
      <c r="I842"/>
      <c r="J842"/>
      <c r="K842"/>
      <c r="L842"/>
      <c r="M842"/>
      <c r="N842"/>
      <c r="O842"/>
      <c r="P842"/>
    </row>
    <row r="843" spans="1:16" x14ac:dyDescent="0.2">
      <c r="A843"/>
      <c r="B843"/>
      <c r="C843"/>
      <c r="H843"/>
      <c r="I843"/>
      <c r="J843"/>
      <c r="K843"/>
      <c r="L843"/>
      <c r="M843"/>
      <c r="N843"/>
      <c r="O843"/>
      <c r="P843"/>
    </row>
    <row r="844" spans="1:16" x14ac:dyDescent="0.2">
      <c r="A844"/>
      <c r="B844"/>
      <c r="C844"/>
      <c r="H844"/>
      <c r="I844"/>
      <c r="J844"/>
      <c r="K844"/>
      <c r="L844"/>
      <c r="M844"/>
      <c r="N844"/>
      <c r="O844"/>
      <c r="P844"/>
    </row>
    <row r="845" spans="1:16" x14ac:dyDescent="0.2">
      <c r="A845"/>
      <c r="B845"/>
      <c r="C845"/>
      <c r="H845"/>
      <c r="I845"/>
      <c r="J845"/>
      <c r="K845"/>
      <c r="L845"/>
      <c r="M845"/>
      <c r="N845"/>
      <c r="O845"/>
      <c r="P845"/>
    </row>
    <row r="846" spans="1:16" x14ac:dyDescent="0.2">
      <c r="A846"/>
      <c r="B846"/>
      <c r="C846"/>
      <c r="H846"/>
      <c r="I846"/>
      <c r="J846"/>
      <c r="K846"/>
      <c r="L846"/>
      <c r="M846"/>
      <c r="N846"/>
      <c r="O846"/>
      <c r="P846"/>
    </row>
    <row r="847" spans="1:16" x14ac:dyDescent="0.2">
      <c r="A847"/>
      <c r="B847"/>
      <c r="C847"/>
      <c r="H847"/>
      <c r="I847"/>
      <c r="J847"/>
      <c r="K847"/>
      <c r="L847"/>
      <c r="M847"/>
      <c r="N847"/>
      <c r="O847"/>
      <c r="P847"/>
    </row>
    <row r="848" spans="1:16" x14ac:dyDescent="0.2">
      <c r="A848"/>
      <c r="B848"/>
      <c r="C848"/>
      <c r="H848"/>
      <c r="I848"/>
      <c r="J848"/>
      <c r="K848"/>
      <c r="L848"/>
      <c r="M848"/>
      <c r="N848"/>
      <c r="O848"/>
      <c r="P848"/>
    </row>
    <row r="849" spans="1:16" x14ac:dyDescent="0.2">
      <c r="A849"/>
      <c r="B849"/>
      <c r="C849"/>
      <c r="H849"/>
      <c r="I849"/>
      <c r="J849"/>
      <c r="K849"/>
      <c r="L849"/>
      <c r="M849"/>
      <c r="N849"/>
      <c r="O849"/>
      <c r="P849"/>
    </row>
    <row r="850" spans="1:16" ht="12" customHeight="1" x14ac:dyDescent="0.2">
      <c r="A850"/>
      <c r="B850"/>
      <c r="C850"/>
      <c r="H850"/>
      <c r="I850"/>
      <c r="J850"/>
      <c r="K850"/>
      <c r="L850"/>
      <c r="M850"/>
      <c r="N850"/>
      <c r="O850"/>
      <c r="P850"/>
    </row>
    <row r="851" spans="1:16" ht="12" customHeight="1" x14ac:dyDescent="0.2">
      <c r="A851"/>
      <c r="B851"/>
      <c r="C851"/>
      <c r="H851"/>
      <c r="I851"/>
      <c r="J851"/>
      <c r="K851"/>
      <c r="L851"/>
      <c r="M851"/>
      <c r="N851"/>
      <c r="O851"/>
      <c r="P851"/>
    </row>
    <row r="852" spans="1:16" ht="12" customHeight="1" x14ac:dyDescent="0.2">
      <c r="A852"/>
      <c r="B852"/>
      <c r="C852"/>
      <c r="H852"/>
      <c r="I852"/>
      <c r="J852"/>
      <c r="K852"/>
      <c r="L852"/>
      <c r="M852"/>
      <c r="N852"/>
      <c r="O852"/>
      <c r="P852"/>
    </row>
    <row r="853" spans="1:16" ht="12" customHeight="1" x14ac:dyDescent="0.2">
      <c r="A853"/>
      <c r="B853"/>
      <c r="C853"/>
      <c r="H853"/>
      <c r="I853"/>
      <c r="J853"/>
      <c r="K853"/>
      <c r="L853"/>
      <c r="M853"/>
      <c r="N853"/>
      <c r="O853"/>
      <c r="P853"/>
    </row>
    <row r="854" spans="1:16" ht="12" customHeight="1" x14ac:dyDescent="0.2">
      <c r="A854"/>
      <c r="B854"/>
      <c r="C854"/>
      <c r="H854"/>
      <c r="I854"/>
      <c r="J854"/>
      <c r="K854"/>
      <c r="L854"/>
      <c r="M854"/>
      <c r="N854"/>
      <c r="O854"/>
      <c r="P854"/>
    </row>
    <row r="855" spans="1:16" ht="12" customHeight="1" x14ac:dyDescent="0.2">
      <c r="A855"/>
      <c r="B855"/>
      <c r="C855"/>
      <c r="H855"/>
      <c r="I855"/>
      <c r="J855"/>
      <c r="K855"/>
      <c r="L855"/>
      <c r="M855"/>
      <c r="N855"/>
      <c r="O855"/>
      <c r="P855"/>
    </row>
    <row r="856" spans="1:16" ht="12" customHeight="1" x14ac:dyDescent="0.2">
      <c r="A856"/>
      <c r="B856"/>
      <c r="C856"/>
      <c r="H856"/>
      <c r="I856"/>
      <c r="J856"/>
      <c r="K856"/>
      <c r="L856"/>
      <c r="M856"/>
      <c r="N856"/>
      <c r="O856"/>
      <c r="P856"/>
    </row>
    <row r="857" spans="1:16" x14ac:dyDescent="0.2">
      <c r="A857"/>
      <c r="B857"/>
      <c r="C857"/>
      <c r="H857"/>
      <c r="I857"/>
      <c r="J857"/>
      <c r="K857"/>
      <c r="L857"/>
      <c r="M857"/>
      <c r="N857"/>
      <c r="O857"/>
      <c r="P857"/>
    </row>
    <row r="858" spans="1:16" x14ac:dyDescent="0.2">
      <c r="A858"/>
      <c r="B858"/>
      <c r="C858"/>
      <c r="H858"/>
      <c r="I858"/>
      <c r="J858"/>
      <c r="K858"/>
      <c r="L858"/>
      <c r="M858"/>
      <c r="N858"/>
      <c r="O858"/>
      <c r="P858"/>
    </row>
    <row r="859" spans="1:16" x14ac:dyDescent="0.2">
      <c r="A859"/>
      <c r="B859"/>
      <c r="C859"/>
      <c r="H859"/>
      <c r="I859"/>
      <c r="J859"/>
      <c r="K859"/>
      <c r="L859"/>
      <c r="M859"/>
      <c r="N859"/>
      <c r="O859"/>
      <c r="P859"/>
    </row>
    <row r="860" spans="1:16" x14ac:dyDescent="0.2">
      <c r="A860"/>
      <c r="B860"/>
      <c r="C860"/>
      <c r="H860"/>
      <c r="I860"/>
      <c r="J860"/>
      <c r="K860"/>
      <c r="L860"/>
      <c r="M860"/>
      <c r="N860"/>
      <c r="O860"/>
      <c r="P860"/>
    </row>
    <row r="861" spans="1:16" x14ac:dyDescent="0.2">
      <c r="A861"/>
      <c r="B861"/>
      <c r="C861"/>
      <c r="H861"/>
      <c r="I861"/>
      <c r="J861"/>
      <c r="K861"/>
      <c r="L861"/>
      <c r="M861"/>
      <c r="N861"/>
      <c r="O861"/>
      <c r="P861"/>
    </row>
    <row r="862" spans="1:16" x14ac:dyDescent="0.2">
      <c r="A862"/>
      <c r="B862"/>
      <c r="C862"/>
      <c r="H862"/>
      <c r="I862"/>
      <c r="J862"/>
      <c r="K862"/>
      <c r="L862"/>
      <c r="M862"/>
      <c r="N862"/>
      <c r="O862"/>
      <c r="P862"/>
    </row>
    <row r="863" spans="1:16" x14ac:dyDescent="0.2">
      <c r="A863"/>
      <c r="B863"/>
      <c r="C863"/>
      <c r="H863"/>
      <c r="I863"/>
      <c r="J863"/>
      <c r="K863"/>
      <c r="L863"/>
      <c r="M863"/>
      <c r="N863"/>
      <c r="O863"/>
      <c r="P863"/>
    </row>
    <row r="864" spans="1:16" x14ac:dyDescent="0.2">
      <c r="A864"/>
      <c r="B864"/>
      <c r="C864"/>
      <c r="H864"/>
      <c r="I864"/>
      <c r="J864"/>
      <c r="K864"/>
      <c r="L864"/>
      <c r="M864"/>
      <c r="N864"/>
      <c r="O864"/>
      <c r="P864"/>
    </row>
    <row r="865" spans="1:16" x14ac:dyDescent="0.2">
      <c r="A865"/>
      <c r="B865"/>
      <c r="C865"/>
      <c r="H865"/>
      <c r="I865"/>
      <c r="J865"/>
      <c r="K865"/>
      <c r="L865"/>
      <c r="M865"/>
      <c r="N865"/>
      <c r="O865"/>
      <c r="P865"/>
    </row>
    <row r="866" spans="1:16" x14ac:dyDescent="0.2">
      <c r="A866"/>
      <c r="B866"/>
      <c r="C866"/>
      <c r="H866"/>
      <c r="I866"/>
      <c r="J866"/>
      <c r="K866"/>
      <c r="L866"/>
      <c r="M866"/>
      <c r="N866"/>
      <c r="O866"/>
      <c r="P866"/>
    </row>
    <row r="867" spans="1:16" x14ac:dyDescent="0.2">
      <c r="A867"/>
      <c r="B867"/>
      <c r="C867"/>
      <c r="H867"/>
      <c r="I867"/>
      <c r="J867"/>
      <c r="K867"/>
      <c r="L867"/>
      <c r="M867"/>
      <c r="N867"/>
      <c r="O867"/>
      <c r="P867"/>
    </row>
    <row r="868" spans="1:16" x14ac:dyDescent="0.2">
      <c r="A868"/>
      <c r="B868"/>
      <c r="C868"/>
      <c r="H868"/>
      <c r="I868"/>
      <c r="J868"/>
      <c r="K868"/>
      <c r="L868"/>
      <c r="M868"/>
      <c r="N868"/>
      <c r="O868"/>
      <c r="P868"/>
    </row>
    <row r="869" spans="1:16" ht="12" customHeight="1" x14ac:dyDescent="0.2">
      <c r="A869"/>
      <c r="B869"/>
      <c r="C869"/>
      <c r="H869"/>
      <c r="I869"/>
      <c r="J869"/>
      <c r="K869"/>
      <c r="L869"/>
      <c r="M869"/>
      <c r="N869"/>
      <c r="O869"/>
      <c r="P869"/>
    </row>
    <row r="870" spans="1:16" ht="12" customHeight="1" x14ac:dyDescent="0.2">
      <c r="A870"/>
      <c r="B870"/>
      <c r="C870"/>
      <c r="H870"/>
      <c r="I870"/>
      <c r="J870"/>
      <c r="K870"/>
      <c r="L870"/>
      <c r="M870"/>
      <c r="N870"/>
      <c r="O870"/>
      <c r="P870"/>
    </row>
    <row r="871" spans="1:16" ht="12" customHeight="1" x14ac:dyDescent="0.2">
      <c r="A871"/>
      <c r="B871"/>
      <c r="C871"/>
      <c r="H871"/>
      <c r="I871"/>
      <c r="J871"/>
      <c r="K871"/>
      <c r="L871"/>
      <c r="M871"/>
      <c r="N871"/>
      <c r="O871"/>
      <c r="P871"/>
    </row>
    <row r="872" spans="1:16" ht="12" customHeight="1" x14ac:dyDescent="0.2">
      <c r="A872"/>
      <c r="B872"/>
      <c r="C872"/>
      <c r="H872"/>
      <c r="I872"/>
      <c r="J872"/>
      <c r="K872"/>
      <c r="L872"/>
      <c r="M872"/>
      <c r="N872"/>
      <c r="O872"/>
      <c r="P872"/>
    </row>
    <row r="873" spans="1:16" ht="12" customHeight="1" x14ac:dyDescent="0.2">
      <c r="A873"/>
      <c r="B873"/>
      <c r="C873"/>
      <c r="H873"/>
      <c r="I873"/>
      <c r="J873"/>
      <c r="K873"/>
      <c r="L873"/>
      <c r="M873"/>
      <c r="N873"/>
      <c r="O873"/>
      <c r="P873"/>
    </row>
    <row r="874" spans="1:16" ht="12" customHeight="1" x14ac:dyDescent="0.2">
      <c r="A874"/>
      <c r="B874"/>
      <c r="C874"/>
      <c r="H874"/>
      <c r="I874"/>
      <c r="J874"/>
      <c r="K874"/>
      <c r="L874"/>
      <c r="M874"/>
      <c r="N874"/>
      <c r="O874"/>
      <c r="P874"/>
    </row>
    <row r="875" spans="1:16" x14ac:dyDescent="0.2">
      <c r="A875"/>
      <c r="B875"/>
      <c r="C875"/>
      <c r="H875"/>
      <c r="I875"/>
      <c r="J875"/>
      <c r="K875"/>
      <c r="L875"/>
      <c r="M875"/>
      <c r="N875"/>
      <c r="O875"/>
      <c r="P875"/>
    </row>
    <row r="876" spans="1:16" x14ac:dyDescent="0.2">
      <c r="A876"/>
      <c r="B876"/>
      <c r="C876"/>
      <c r="H876"/>
      <c r="I876"/>
      <c r="J876"/>
      <c r="K876"/>
      <c r="L876"/>
      <c r="M876"/>
      <c r="N876"/>
      <c r="O876"/>
      <c r="P876"/>
    </row>
    <row r="877" spans="1:16" x14ac:dyDescent="0.2">
      <c r="A877"/>
      <c r="B877"/>
      <c r="C877"/>
      <c r="H877"/>
      <c r="I877"/>
      <c r="J877"/>
      <c r="K877"/>
      <c r="L877"/>
      <c r="M877"/>
      <c r="N877"/>
      <c r="O877"/>
      <c r="P877"/>
    </row>
    <row r="878" spans="1:16" x14ac:dyDescent="0.2">
      <c r="A878"/>
      <c r="B878"/>
      <c r="C878"/>
      <c r="H878"/>
      <c r="I878"/>
      <c r="J878"/>
      <c r="K878"/>
      <c r="L878"/>
      <c r="M878"/>
      <c r="N878"/>
      <c r="O878"/>
      <c r="P878"/>
    </row>
    <row r="879" spans="1:16" x14ac:dyDescent="0.2">
      <c r="A879"/>
      <c r="B879"/>
      <c r="C879"/>
      <c r="H879"/>
      <c r="I879"/>
      <c r="J879"/>
      <c r="K879"/>
      <c r="L879"/>
      <c r="M879"/>
      <c r="N879"/>
      <c r="O879"/>
      <c r="P879"/>
    </row>
    <row r="880" spans="1:16" x14ac:dyDescent="0.2">
      <c r="A880"/>
      <c r="B880"/>
      <c r="C880"/>
      <c r="H880"/>
      <c r="I880"/>
      <c r="J880"/>
      <c r="K880"/>
      <c r="L880"/>
      <c r="M880"/>
      <c r="N880"/>
      <c r="O880"/>
      <c r="P880"/>
    </row>
    <row r="881" spans="1:16" x14ac:dyDescent="0.2">
      <c r="A881"/>
      <c r="B881"/>
      <c r="C881"/>
      <c r="H881"/>
      <c r="I881"/>
      <c r="J881"/>
      <c r="K881"/>
      <c r="L881"/>
      <c r="M881"/>
      <c r="N881"/>
      <c r="O881"/>
      <c r="P881"/>
    </row>
    <row r="882" spans="1:16" x14ac:dyDescent="0.2">
      <c r="A882"/>
      <c r="B882"/>
      <c r="C882"/>
      <c r="H882"/>
      <c r="I882"/>
      <c r="J882"/>
      <c r="K882"/>
      <c r="L882"/>
      <c r="M882"/>
      <c r="N882"/>
      <c r="O882"/>
      <c r="P882"/>
    </row>
    <row r="883" spans="1:16" x14ac:dyDescent="0.2">
      <c r="A883"/>
      <c r="B883"/>
      <c r="C883"/>
      <c r="H883"/>
      <c r="I883"/>
      <c r="J883"/>
      <c r="K883"/>
      <c r="L883"/>
      <c r="M883"/>
      <c r="N883"/>
      <c r="O883"/>
      <c r="P883"/>
    </row>
    <row r="884" spans="1:16" x14ac:dyDescent="0.2">
      <c r="A884"/>
      <c r="B884"/>
      <c r="C884"/>
      <c r="H884"/>
      <c r="I884"/>
      <c r="J884"/>
      <c r="K884"/>
      <c r="L884"/>
      <c r="M884"/>
      <c r="N884"/>
      <c r="O884"/>
      <c r="P884"/>
    </row>
    <row r="885" spans="1:16" x14ac:dyDescent="0.2">
      <c r="A885"/>
      <c r="B885"/>
      <c r="C885"/>
      <c r="H885"/>
      <c r="I885"/>
      <c r="J885"/>
      <c r="K885"/>
      <c r="L885"/>
      <c r="M885"/>
      <c r="N885"/>
      <c r="O885"/>
      <c r="P885"/>
    </row>
    <row r="886" spans="1:16" x14ac:dyDescent="0.2">
      <c r="A886"/>
      <c r="B886"/>
      <c r="C886"/>
      <c r="H886"/>
      <c r="I886"/>
      <c r="J886"/>
      <c r="K886"/>
      <c r="L886"/>
      <c r="M886"/>
      <c r="N886"/>
      <c r="O886"/>
      <c r="P886"/>
    </row>
    <row r="887" spans="1:16" x14ac:dyDescent="0.2">
      <c r="A887"/>
      <c r="B887"/>
      <c r="C887"/>
      <c r="H887"/>
      <c r="I887"/>
      <c r="J887"/>
      <c r="K887"/>
      <c r="L887"/>
      <c r="M887"/>
      <c r="N887"/>
      <c r="O887"/>
      <c r="P887"/>
    </row>
    <row r="888" spans="1:16" x14ac:dyDescent="0.2">
      <c r="A888"/>
      <c r="B888"/>
      <c r="C888"/>
      <c r="H888"/>
      <c r="I888"/>
      <c r="J888"/>
      <c r="K888"/>
      <c r="L888"/>
      <c r="M888"/>
      <c r="N888"/>
      <c r="O888"/>
      <c r="P888"/>
    </row>
    <row r="889" spans="1:16" ht="12" customHeight="1" x14ac:dyDescent="0.2">
      <c r="A889"/>
      <c r="B889"/>
      <c r="C889"/>
      <c r="H889"/>
      <c r="I889"/>
      <c r="J889"/>
      <c r="K889"/>
      <c r="L889"/>
      <c r="M889"/>
      <c r="N889"/>
      <c r="O889"/>
      <c r="P889"/>
    </row>
    <row r="890" spans="1:16" ht="12" customHeight="1" x14ac:dyDescent="0.2">
      <c r="A890"/>
      <c r="B890"/>
      <c r="C890"/>
      <c r="H890"/>
      <c r="I890"/>
      <c r="J890"/>
      <c r="K890"/>
      <c r="L890"/>
      <c r="M890"/>
      <c r="N890"/>
      <c r="O890"/>
      <c r="P890"/>
    </row>
    <row r="891" spans="1:16" ht="12" customHeight="1" x14ac:dyDescent="0.2">
      <c r="A891"/>
      <c r="B891"/>
      <c r="C891"/>
      <c r="H891"/>
      <c r="I891"/>
      <c r="J891"/>
      <c r="K891"/>
      <c r="L891"/>
      <c r="M891"/>
      <c r="N891"/>
      <c r="O891"/>
      <c r="P891"/>
    </row>
    <row r="892" spans="1:16" ht="12" customHeight="1" x14ac:dyDescent="0.2">
      <c r="A892"/>
      <c r="B892"/>
      <c r="C892"/>
      <c r="H892"/>
      <c r="I892"/>
      <c r="J892"/>
      <c r="K892"/>
      <c r="L892"/>
      <c r="M892"/>
      <c r="N892"/>
      <c r="O892"/>
      <c r="P892"/>
    </row>
    <row r="893" spans="1:16" ht="12" customHeight="1" x14ac:dyDescent="0.2">
      <c r="A893"/>
      <c r="B893"/>
      <c r="C893"/>
      <c r="H893"/>
      <c r="I893"/>
      <c r="J893"/>
      <c r="K893"/>
      <c r="L893"/>
      <c r="M893"/>
      <c r="N893"/>
      <c r="O893"/>
      <c r="P893"/>
    </row>
    <row r="894" spans="1:16" ht="12" customHeight="1" x14ac:dyDescent="0.2">
      <c r="A894"/>
      <c r="B894"/>
      <c r="C894"/>
      <c r="H894"/>
      <c r="I894"/>
      <c r="J894"/>
      <c r="K894"/>
      <c r="L894"/>
      <c r="M894"/>
      <c r="N894"/>
      <c r="O894"/>
      <c r="P894"/>
    </row>
    <row r="895" spans="1:16" ht="12" customHeight="1" x14ac:dyDescent="0.2">
      <c r="A895"/>
      <c r="B895"/>
      <c r="C895"/>
      <c r="H895"/>
      <c r="I895"/>
      <c r="J895"/>
      <c r="K895"/>
      <c r="L895"/>
      <c r="M895"/>
      <c r="N895"/>
      <c r="O895"/>
      <c r="P895"/>
    </row>
    <row r="896" spans="1:16" x14ac:dyDescent="0.2">
      <c r="A896"/>
      <c r="B896"/>
      <c r="C896"/>
      <c r="H896"/>
      <c r="I896"/>
      <c r="J896"/>
      <c r="K896"/>
      <c r="L896"/>
      <c r="M896"/>
      <c r="N896"/>
      <c r="O896"/>
      <c r="P896"/>
    </row>
    <row r="897" spans="1:16" x14ac:dyDescent="0.2">
      <c r="A897"/>
      <c r="B897"/>
      <c r="C897"/>
      <c r="H897"/>
      <c r="I897"/>
      <c r="J897"/>
      <c r="K897"/>
      <c r="L897"/>
      <c r="M897"/>
      <c r="N897"/>
      <c r="O897"/>
      <c r="P897"/>
    </row>
    <row r="898" spans="1:16" x14ac:dyDescent="0.2">
      <c r="A898"/>
      <c r="B898"/>
      <c r="C898"/>
      <c r="H898"/>
      <c r="I898"/>
      <c r="J898"/>
      <c r="K898"/>
      <c r="L898"/>
      <c r="M898"/>
      <c r="N898"/>
      <c r="O898"/>
      <c r="P898"/>
    </row>
    <row r="899" spans="1:16" ht="12" customHeight="1" x14ac:dyDescent="0.2">
      <c r="A899"/>
      <c r="B899"/>
      <c r="C899"/>
      <c r="H899"/>
      <c r="I899"/>
      <c r="J899"/>
      <c r="K899"/>
      <c r="L899"/>
      <c r="M899"/>
      <c r="N899"/>
      <c r="O899"/>
      <c r="P899"/>
    </row>
    <row r="900" spans="1:16" ht="12" customHeight="1" x14ac:dyDescent="0.2">
      <c r="A900"/>
      <c r="B900"/>
      <c r="C900"/>
      <c r="H900"/>
      <c r="I900"/>
      <c r="J900"/>
      <c r="K900"/>
      <c r="L900"/>
      <c r="M900"/>
      <c r="N900"/>
      <c r="O900"/>
      <c r="P900"/>
    </row>
    <row r="901" spans="1:16" ht="12" customHeight="1" x14ac:dyDescent="0.2">
      <c r="A901"/>
      <c r="B901"/>
      <c r="C901"/>
      <c r="H901"/>
      <c r="I901"/>
      <c r="J901"/>
      <c r="K901"/>
      <c r="L901"/>
      <c r="M901"/>
      <c r="N901"/>
      <c r="O901"/>
      <c r="P901"/>
    </row>
    <row r="902" spans="1:16" ht="12" customHeight="1" x14ac:dyDescent="0.2">
      <c r="A902"/>
      <c r="B902"/>
      <c r="C902"/>
      <c r="H902"/>
      <c r="I902"/>
      <c r="J902"/>
      <c r="K902"/>
      <c r="L902"/>
      <c r="M902"/>
      <c r="N902"/>
      <c r="O902"/>
      <c r="P902"/>
    </row>
    <row r="903" spans="1:16" ht="12" customHeight="1" x14ac:dyDescent="0.2">
      <c r="A903"/>
      <c r="B903"/>
      <c r="C903"/>
      <c r="H903"/>
      <c r="I903"/>
      <c r="J903"/>
      <c r="K903"/>
      <c r="L903"/>
      <c r="M903"/>
      <c r="N903"/>
      <c r="O903"/>
      <c r="P903"/>
    </row>
    <row r="904" spans="1:16" ht="12" customHeight="1" x14ac:dyDescent="0.2">
      <c r="A904"/>
      <c r="B904"/>
      <c r="C904"/>
      <c r="H904"/>
      <c r="I904"/>
      <c r="J904"/>
      <c r="K904"/>
      <c r="L904"/>
      <c r="M904"/>
      <c r="N904"/>
      <c r="O904"/>
      <c r="P904"/>
    </row>
    <row r="905" spans="1:16" ht="12" customHeight="1" x14ac:dyDescent="0.2">
      <c r="A905"/>
      <c r="B905"/>
      <c r="C905"/>
      <c r="H905"/>
      <c r="I905"/>
      <c r="J905"/>
      <c r="K905"/>
      <c r="L905"/>
      <c r="M905"/>
      <c r="N905"/>
      <c r="O905"/>
      <c r="P905"/>
    </row>
    <row r="906" spans="1:16" x14ac:dyDescent="0.2">
      <c r="A906"/>
      <c r="B906"/>
      <c r="C906"/>
      <c r="H906"/>
      <c r="I906"/>
      <c r="J906"/>
      <c r="K906"/>
      <c r="L906"/>
      <c r="M906"/>
      <c r="N906"/>
      <c r="O906"/>
      <c r="P906"/>
    </row>
    <row r="907" spans="1:16" ht="15" customHeight="1" x14ac:dyDescent="0.2">
      <c r="A907"/>
      <c r="B907"/>
      <c r="C907"/>
      <c r="H907"/>
      <c r="I907"/>
      <c r="J907"/>
      <c r="K907"/>
      <c r="L907"/>
      <c r="M907"/>
      <c r="N907"/>
      <c r="O907"/>
      <c r="P907"/>
    </row>
    <row r="908" spans="1:16" x14ac:dyDescent="0.2">
      <c r="A908"/>
      <c r="B908"/>
      <c r="C908"/>
      <c r="H908"/>
      <c r="I908"/>
      <c r="J908"/>
      <c r="K908"/>
      <c r="L908"/>
      <c r="M908"/>
      <c r="N908"/>
      <c r="O908"/>
      <c r="P908"/>
    </row>
    <row r="909" spans="1:16" ht="15" customHeight="1" x14ac:dyDescent="0.2">
      <c r="A909"/>
      <c r="B909"/>
      <c r="C909"/>
      <c r="H909"/>
      <c r="I909"/>
      <c r="J909"/>
      <c r="K909"/>
      <c r="L909"/>
      <c r="M909"/>
      <c r="N909"/>
      <c r="O909"/>
      <c r="P909"/>
    </row>
    <row r="910" spans="1:16" ht="12" customHeight="1" x14ac:dyDescent="0.2">
      <c r="A910"/>
      <c r="B910"/>
      <c r="C910"/>
      <c r="H910"/>
      <c r="I910"/>
      <c r="J910"/>
      <c r="K910"/>
      <c r="L910"/>
      <c r="M910"/>
      <c r="N910"/>
      <c r="O910"/>
      <c r="P910"/>
    </row>
    <row r="911" spans="1:16" ht="12" customHeight="1" x14ac:dyDescent="0.2">
      <c r="A911"/>
      <c r="B911"/>
      <c r="C911"/>
      <c r="H911"/>
      <c r="I911"/>
      <c r="J911"/>
      <c r="K911"/>
      <c r="L911"/>
      <c r="M911"/>
      <c r="N911"/>
      <c r="O911"/>
      <c r="P911"/>
    </row>
    <row r="912" spans="1:16" x14ac:dyDescent="0.2">
      <c r="A912"/>
      <c r="B912"/>
      <c r="C912"/>
      <c r="H912"/>
      <c r="I912"/>
      <c r="J912"/>
      <c r="K912"/>
      <c r="L912"/>
      <c r="M912"/>
      <c r="N912"/>
      <c r="O912"/>
      <c r="P912"/>
    </row>
    <row r="913" spans="1:16" ht="12" customHeight="1" x14ac:dyDescent="0.2">
      <c r="A913"/>
      <c r="B913"/>
      <c r="C913"/>
      <c r="H913"/>
      <c r="I913"/>
      <c r="J913"/>
      <c r="K913"/>
      <c r="L913"/>
      <c r="M913"/>
      <c r="N913"/>
      <c r="O913"/>
      <c r="P913"/>
    </row>
    <row r="914" spans="1:16" ht="12" customHeight="1" x14ac:dyDescent="0.2">
      <c r="A914"/>
      <c r="B914"/>
      <c r="C914"/>
      <c r="H914"/>
      <c r="I914"/>
      <c r="J914"/>
      <c r="K914"/>
      <c r="L914"/>
      <c r="M914"/>
      <c r="N914"/>
      <c r="O914"/>
      <c r="P914"/>
    </row>
    <row r="915" spans="1:16" x14ac:dyDescent="0.2">
      <c r="A915"/>
      <c r="B915"/>
      <c r="C915"/>
      <c r="H915"/>
      <c r="I915"/>
      <c r="J915"/>
      <c r="K915"/>
      <c r="L915"/>
      <c r="M915"/>
      <c r="N915"/>
      <c r="O915"/>
      <c r="P915"/>
    </row>
    <row r="916" spans="1:16" ht="12" customHeight="1" x14ac:dyDescent="0.2">
      <c r="A916"/>
      <c r="B916"/>
      <c r="C916"/>
      <c r="H916"/>
      <c r="I916"/>
      <c r="J916"/>
      <c r="K916"/>
      <c r="L916"/>
      <c r="M916"/>
      <c r="N916"/>
      <c r="O916"/>
      <c r="P916"/>
    </row>
    <row r="917" spans="1:16" ht="12" customHeight="1" x14ac:dyDescent="0.2">
      <c r="A917"/>
      <c r="B917"/>
      <c r="C917"/>
      <c r="H917"/>
      <c r="I917"/>
      <c r="J917"/>
      <c r="K917"/>
      <c r="L917"/>
      <c r="M917"/>
      <c r="N917"/>
      <c r="O917"/>
      <c r="P917"/>
    </row>
    <row r="918" spans="1:16" ht="12" customHeight="1" x14ac:dyDescent="0.2">
      <c r="A918"/>
      <c r="B918"/>
      <c r="C918"/>
      <c r="H918"/>
      <c r="I918"/>
      <c r="J918"/>
      <c r="K918"/>
      <c r="L918"/>
      <c r="M918"/>
      <c r="N918"/>
      <c r="O918"/>
      <c r="P918"/>
    </row>
    <row r="919" spans="1:16" ht="12" customHeight="1" x14ac:dyDescent="0.2">
      <c r="A919"/>
      <c r="B919"/>
      <c r="C919"/>
      <c r="H919"/>
      <c r="I919"/>
      <c r="J919"/>
      <c r="K919"/>
      <c r="L919"/>
      <c r="M919"/>
      <c r="N919"/>
      <c r="O919"/>
      <c r="P919"/>
    </row>
    <row r="920" spans="1:16" x14ac:dyDescent="0.2">
      <c r="A920"/>
      <c r="B920"/>
      <c r="C920"/>
      <c r="H920"/>
      <c r="I920"/>
      <c r="J920"/>
      <c r="K920"/>
      <c r="L920"/>
      <c r="M920"/>
      <c r="N920"/>
      <c r="O920"/>
      <c r="P920"/>
    </row>
    <row r="921" spans="1:16" x14ac:dyDescent="0.2">
      <c r="A921"/>
      <c r="B921"/>
      <c r="C921"/>
      <c r="H921"/>
      <c r="I921"/>
      <c r="J921"/>
      <c r="K921"/>
      <c r="L921"/>
      <c r="M921"/>
      <c r="N921"/>
      <c r="O921"/>
      <c r="P921"/>
    </row>
    <row r="922" spans="1:16" x14ac:dyDescent="0.2">
      <c r="A922"/>
      <c r="B922"/>
      <c r="C922"/>
      <c r="H922"/>
      <c r="I922"/>
      <c r="J922"/>
      <c r="K922"/>
      <c r="L922"/>
      <c r="M922"/>
      <c r="N922"/>
      <c r="O922"/>
      <c r="P922"/>
    </row>
    <row r="923" spans="1:16" ht="12" customHeight="1" x14ac:dyDescent="0.2">
      <c r="A923"/>
      <c r="B923"/>
      <c r="C923"/>
      <c r="H923"/>
      <c r="I923"/>
      <c r="J923"/>
      <c r="K923"/>
      <c r="L923"/>
      <c r="M923"/>
      <c r="N923"/>
      <c r="O923"/>
      <c r="P923"/>
    </row>
    <row r="924" spans="1:16" ht="12" customHeight="1" x14ac:dyDescent="0.2">
      <c r="A924"/>
      <c r="B924"/>
      <c r="C924"/>
      <c r="H924"/>
      <c r="I924"/>
      <c r="J924"/>
      <c r="K924"/>
      <c r="L924"/>
      <c r="M924"/>
      <c r="N924"/>
      <c r="O924"/>
      <c r="P924"/>
    </row>
    <row r="925" spans="1:16" ht="12" customHeight="1" x14ac:dyDescent="0.2">
      <c r="A925"/>
      <c r="B925"/>
      <c r="C925"/>
      <c r="H925"/>
      <c r="I925"/>
      <c r="J925"/>
      <c r="K925"/>
      <c r="L925"/>
      <c r="M925"/>
      <c r="N925"/>
      <c r="O925"/>
      <c r="P925"/>
    </row>
    <row r="926" spans="1:16" ht="12" customHeight="1" x14ac:dyDescent="0.2">
      <c r="A926"/>
      <c r="B926"/>
      <c r="C926"/>
      <c r="H926"/>
      <c r="I926"/>
      <c r="J926"/>
      <c r="K926"/>
      <c r="L926"/>
      <c r="M926"/>
      <c r="N926"/>
      <c r="O926"/>
      <c r="P926"/>
    </row>
    <row r="927" spans="1:16" ht="12" customHeight="1" x14ac:dyDescent="0.2">
      <c r="A927"/>
      <c r="B927"/>
      <c r="C927"/>
      <c r="H927"/>
      <c r="I927"/>
      <c r="J927"/>
      <c r="K927"/>
      <c r="L927"/>
      <c r="M927"/>
      <c r="N927"/>
      <c r="O927"/>
      <c r="P927"/>
    </row>
    <row r="928" spans="1:16" ht="12" customHeight="1" x14ac:dyDescent="0.2">
      <c r="A928"/>
      <c r="B928"/>
      <c r="C928"/>
      <c r="H928"/>
      <c r="I928"/>
      <c r="J928"/>
      <c r="K928"/>
      <c r="L928"/>
      <c r="M928"/>
      <c r="N928"/>
      <c r="O928"/>
      <c r="P928"/>
    </row>
    <row r="929" spans="1:16" ht="12" customHeight="1" x14ac:dyDescent="0.2">
      <c r="A929"/>
      <c r="B929"/>
      <c r="C929"/>
      <c r="H929"/>
      <c r="I929"/>
      <c r="J929"/>
      <c r="K929"/>
      <c r="L929"/>
      <c r="M929"/>
      <c r="N929"/>
      <c r="O929"/>
      <c r="P929"/>
    </row>
    <row r="930" spans="1:16" ht="12" customHeight="1" x14ac:dyDescent="0.2">
      <c r="A930"/>
      <c r="B930"/>
      <c r="C930"/>
      <c r="H930"/>
      <c r="I930"/>
      <c r="J930"/>
      <c r="K930"/>
      <c r="L930"/>
      <c r="M930"/>
      <c r="N930"/>
      <c r="O930"/>
      <c r="P930"/>
    </row>
    <row r="931" spans="1:16" ht="12" customHeight="1" x14ac:dyDescent="0.2">
      <c r="A931"/>
      <c r="B931"/>
      <c r="C931"/>
      <c r="H931"/>
      <c r="I931"/>
      <c r="J931"/>
      <c r="K931"/>
      <c r="L931"/>
      <c r="M931"/>
      <c r="N931"/>
      <c r="O931"/>
      <c r="P931"/>
    </row>
    <row r="932" spans="1:16" x14ac:dyDescent="0.2">
      <c r="A932"/>
      <c r="B932"/>
      <c r="C932"/>
      <c r="H932"/>
      <c r="I932"/>
      <c r="J932"/>
      <c r="K932"/>
      <c r="L932"/>
      <c r="M932"/>
      <c r="N932"/>
      <c r="O932"/>
      <c r="P932"/>
    </row>
    <row r="933" spans="1:16" x14ac:dyDescent="0.2">
      <c r="A933"/>
      <c r="B933"/>
      <c r="C933"/>
      <c r="H933"/>
      <c r="I933"/>
      <c r="J933"/>
      <c r="K933"/>
      <c r="L933"/>
      <c r="M933"/>
      <c r="N933"/>
      <c r="O933"/>
      <c r="P933"/>
    </row>
    <row r="934" spans="1:16" ht="12" customHeight="1" x14ac:dyDescent="0.2">
      <c r="A934"/>
      <c r="B934"/>
      <c r="C934"/>
      <c r="H934"/>
      <c r="I934"/>
      <c r="J934"/>
      <c r="K934"/>
      <c r="L934"/>
      <c r="M934"/>
      <c r="N934"/>
      <c r="O934"/>
      <c r="P934"/>
    </row>
    <row r="935" spans="1:16" ht="12" customHeight="1" x14ac:dyDescent="0.2">
      <c r="A935"/>
      <c r="B935"/>
      <c r="C935"/>
      <c r="H935"/>
      <c r="I935"/>
      <c r="J935"/>
      <c r="K935"/>
      <c r="L935"/>
      <c r="M935"/>
      <c r="N935"/>
      <c r="O935"/>
      <c r="P935"/>
    </row>
    <row r="936" spans="1:16" x14ac:dyDescent="0.2">
      <c r="A936"/>
      <c r="B936"/>
      <c r="C936"/>
      <c r="H936"/>
      <c r="I936"/>
      <c r="J936"/>
      <c r="K936"/>
      <c r="L936"/>
      <c r="M936"/>
      <c r="N936"/>
      <c r="O936"/>
      <c r="P936"/>
    </row>
    <row r="937" spans="1:16" x14ac:dyDescent="0.2">
      <c r="A937"/>
      <c r="B937"/>
      <c r="C937"/>
      <c r="H937"/>
      <c r="I937"/>
      <c r="J937"/>
      <c r="K937"/>
      <c r="L937"/>
      <c r="M937"/>
      <c r="N937"/>
      <c r="O937"/>
      <c r="P937"/>
    </row>
    <row r="938" spans="1:16" x14ac:dyDescent="0.2">
      <c r="A938"/>
      <c r="B938"/>
      <c r="C938"/>
      <c r="H938"/>
      <c r="I938"/>
      <c r="J938"/>
      <c r="K938"/>
      <c r="L938"/>
      <c r="M938"/>
      <c r="N938"/>
      <c r="O938"/>
      <c r="P938"/>
    </row>
    <row r="939" spans="1:16" ht="12" customHeight="1" x14ac:dyDescent="0.2">
      <c r="A939"/>
      <c r="B939"/>
      <c r="C939"/>
      <c r="H939"/>
      <c r="I939"/>
      <c r="J939"/>
      <c r="K939"/>
      <c r="L939"/>
      <c r="M939"/>
      <c r="N939"/>
      <c r="O939"/>
      <c r="P939"/>
    </row>
    <row r="940" spans="1:16" ht="12" customHeight="1" x14ac:dyDescent="0.2">
      <c r="A940"/>
      <c r="B940"/>
      <c r="C940"/>
      <c r="H940"/>
      <c r="I940"/>
      <c r="J940"/>
      <c r="K940"/>
      <c r="L940"/>
      <c r="M940"/>
      <c r="N940"/>
      <c r="O940"/>
      <c r="P940"/>
    </row>
    <row r="941" spans="1:16" ht="12" customHeight="1" x14ac:dyDescent="0.2">
      <c r="A941"/>
      <c r="B941"/>
      <c r="C941"/>
      <c r="H941"/>
      <c r="I941"/>
      <c r="J941"/>
      <c r="K941"/>
      <c r="L941"/>
      <c r="M941"/>
      <c r="N941"/>
      <c r="O941"/>
      <c r="P941"/>
    </row>
    <row r="942" spans="1:16" ht="12" customHeight="1" x14ac:dyDescent="0.2">
      <c r="A942"/>
      <c r="B942"/>
      <c r="C942"/>
      <c r="H942"/>
      <c r="I942"/>
      <c r="J942"/>
      <c r="K942"/>
      <c r="L942"/>
      <c r="M942"/>
      <c r="N942"/>
      <c r="O942"/>
      <c r="P942"/>
    </row>
    <row r="943" spans="1:16" ht="12" customHeight="1" x14ac:dyDescent="0.2">
      <c r="A943"/>
      <c r="B943"/>
      <c r="C943"/>
      <c r="H943"/>
      <c r="I943"/>
      <c r="J943"/>
      <c r="K943"/>
      <c r="L943"/>
      <c r="M943"/>
      <c r="N943"/>
      <c r="O943"/>
      <c r="P943"/>
    </row>
    <row r="944" spans="1:16" ht="12" customHeight="1" x14ac:dyDescent="0.2">
      <c r="A944"/>
      <c r="B944"/>
      <c r="C944"/>
      <c r="H944"/>
      <c r="I944"/>
      <c r="J944"/>
      <c r="K944"/>
      <c r="L944"/>
      <c r="M944"/>
      <c r="N944"/>
      <c r="O944"/>
      <c r="P944"/>
    </row>
    <row r="945" spans="1:16" ht="12" customHeight="1" x14ac:dyDescent="0.2">
      <c r="A945"/>
      <c r="B945"/>
      <c r="C945"/>
      <c r="H945"/>
      <c r="I945"/>
      <c r="J945"/>
      <c r="K945"/>
      <c r="L945"/>
      <c r="M945"/>
      <c r="N945"/>
      <c r="O945"/>
      <c r="P945"/>
    </row>
    <row r="946" spans="1:16" x14ac:dyDescent="0.2">
      <c r="A946"/>
      <c r="B946"/>
      <c r="C946"/>
      <c r="H946"/>
      <c r="I946"/>
      <c r="J946"/>
      <c r="K946"/>
      <c r="L946"/>
      <c r="M946"/>
      <c r="N946"/>
      <c r="O946"/>
      <c r="P946"/>
    </row>
    <row r="947" spans="1:16" ht="15" customHeight="1" x14ac:dyDescent="0.2">
      <c r="A947"/>
      <c r="B947"/>
      <c r="C947"/>
      <c r="H947"/>
      <c r="I947"/>
      <c r="J947"/>
      <c r="K947"/>
      <c r="L947"/>
      <c r="M947"/>
      <c r="N947"/>
      <c r="O947"/>
      <c r="P947"/>
    </row>
    <row r="948" spans="1:16" ht="15" customHeight="1" x14ac:dyDescent="0.2">
      <c r="A948"/>
      <c r="B948"/>
      <c r="C948"/>
      <c r="H948"/>
      <c r="I948"/>
      <c r="J948"/>
      <c r="K948"/>
      <c r="L948"/>
      <c r="M948"/>
      <c r="N948"/>
      <c r="O948"/>
      <c r="P948"/>
    </row>
    <row r="949" spans="1:16" ht="15" customHeight="1" x14ac:dyDescent="0.2">
      <c r="A949"/>
      <c r="B949"/>
      <c r="C949"/>
      <c r="H949"/>
      <c r="I949"/>
      <c r="J949"/>
      <c r="K949"/>
      <c r="L949"/>
      <c r="M949"/>
      <c r="N949"/>
      <c r="O949"/>
      <c r="P949"/>
    </row>
    <row r="950" spans="1:16" ht="15" customHeight="1" x14ac:dyDescent="0.2">
      <c r="A950"/>
      <c r="B950"/>
      <c r="C950"/>
      <c r="H950"/>
      <c r="I950"/>
      <c r="J950"/>
      <c r="K950"/>
      <c r="L950"/>
      <c r="M950"/>
      <c r="N950"/>
      <c r="O950"/>
      <c r="P950"/>
    </row>
    <row r="951" spans="1:16" ht="15" customHeight="1" x14ac:dyDescent="0.2">
      <c r="A951"/>
      <c r="B951"/>
      <c r="C951"/>
      <c r="H951"/>
      <c r="I951"/>
      <c r="J951"/>
      <c r="K951"/>
      <c r="L951"/>
      <c r="M951"/>
      <c r="N951"/>
      <c r="O951"/>
      <c r="P951"/>
    </row>
    <row r="952" spans="1:16" ht="15" customHeight="1" x14ac:dyDescent="0.2">
      <c r="A952"/>
      <c r="B952"/>
      <c r="C952"/>
      <c r="H952"/>
      <c r="I952"/>
      <c r="J952"/>
      <c r="K952"/>
      <c r="L952"/>
      <c r="M952"/>
      <c r="N952"/>
      <c r="O952"/>
      <c r="P952"/>
    </row>
    <row r="953" spans="1:16" ht="15" customHeight="1" x14ac:dyDescent="0.2">
      <c r="A953"/>
      <c r="B953"/>
      <c r="C953"/>
      <c r="H953"/>
      <c r="I953"/>
      <c r="J953"/>
      <c r="K953"/>
      <c r="L953"/>
      <c r="M953"/>
      <c r="N953"/>
      <c r="O953"/>
      <c r="P953"/>
    </row>
    <row r="954" spans="1:16" ht="15" customHeight="1" x14ac:dyDescent="0.2">
      <c r="A954"/>
      <c r="B954"/>
      <c r="C954"/>
      <c r="H954"/>
      <c r="I954"/>
      <c r="J954"/>
      <c r="K954"/>
      <c r="L954"/>
      <c r="M954"/>
      <c r="N954"/>
      <c r="O954"/>
      <c r="P954"/>
    </row>
    <row r="955" spans="1:16" ht="15" customHeight="1" x14ac:dyDescent="0.2">
      <c r="A955"/>
      <c r="B955"/>
      <c r="C955"/>
      <c r="H955"/>
      <c r="I955"/>
      <c r="J955"/>
      <c r="K955"/>
      <c r="L955"/>
      <c r="M955"/>
      <c r="N955"/>
      <c r="O955"/>
      <c r="P955"/>
    </row>
    <row r="956" spans="1:16" ht="15" customHeight="1" x14ac:dyDescent="0.2">
      <c r="A956"/>
      <c r="B956"/>
      <c r="C956"/>
      <c r="H956"/>
      <c r="I956"/>
      <c r="J956"/>
      <c r="K956"/>
      <c r="L956"/>
      <c r="M956"/>
      <c r="N956"/>
      <c r="O956"/>
      <c r="P956"/>
    </row>
    <row r="957" spans="1:16" ht="15" customHeight="1" x14ac:dyDescent="0.2">
      <c r="A957"/>
      <c r="B957"/>
      <c r="C957"/>
      <c r="H957"/>
      <c r="I957"/>
      <c r="J957"/>
      <c r="K957"/>
      <c r="L957"/>
      <c r="M957"/>
      <c r="N957"/>
      <c r="O957"/>
      <c r="P957"/>
    </row>
    <row r="958" spans="1:16" ht="15" customHeight="1" x14ac:dyDescent="0.2">
      <c r="A958"/>
      <c r="B958"/>
      <c r="C958"/>
      <c r="H958"/>
      <c r="I958"/>
      <c r="J958"/>
      <c r="K958"/>
      <c r="L958"/>
      <c r="M958"/>
      <c r="N958"/>
      <c r="O958"/>
      <c r="P958"/>
    </row>
    <row r="959" spans="1:16" ht="15" customHeight="1" x14ac:dyDescent="0.2">
      <c r="A959"/>
      <c r="B959"/>
      <c r="C959"/>
      <c r="H959"/>
      <c r="I959"/>
      <c r="J959"/>
      <c r="K959"/>
      <c r="L959"/>
      <c r="M959"/>
      <c r="N959"/>
      <c r="O959"/>
      <c r="P959"/>
    </row>
    <row r="960" spans="1:16" ht="15" customHeight="1" x14ac:dyDescent="0.2">
      <c r="A960"/>
      <c r="B960"/>
      <c r="C960"/>
      <c r="H960"/>
      <c r="I960"/>
      <c r="J960"/>
      <c r="K960"/>
      <c r="L960"/>
      <c r="M960"/>
      <c r="N960"/>
      <c r="O960"/>
      <c r="P960"/>
    </row>
    <row r="961" spans="1:18" ht="15" customHeight="1" x14ac:dyDescent="0.2">
      <c r="A961"/>
      <c r="B961"/>
      <c r="C961"/>
      <c r="H961"/>
      <c r="I961"/>
      <c r="J961"/>
      <c r="K961"/>
      <c r="L961"/>
      <c r="M961"/>
      <c r="N961"/>
      <c r="O961"/>
      <c r="P961"/>
    </row>
    <row r="962" spans="1:18" x14ac:dyDescent="0.2">
      <c r="A962"/>
      <c r="B962"/>
      <c r="C962"/>
      <c r="H962"/>
      <c r="I962"/>
      <c r="J962"/>
      <c r="K962"/>
      <c r="L962"/>
      <c r="M962"/>
      <c r="N962"/>
      <c r="O962"/>
      <c r="P962"/>
    </row>
    <row r="963" spans="1:18" ht="13.5" customHeight="1" x14ac:dyDescent="0.2">
      <c r="A963"/>
      <c r="B963"/>
      <c r="C963"/>
      <c r="H963"/>
      <c r="I963"/>
      <c r="J963"/>
      <c r="K963"/>
      <c r="L963"/>
      <c r="M963"/>
      <c r="N963"/>
      <c r="O963"/>
      <c r="P963"/>
    </row>
    <row r="964" spans="1:18" ht="34.5" customHeight="1" x14ac:dyDescent="0.2">
      <c r="A964"/>
      <c r="B964"/>
      <c r="C964"/>
      <c r="H964"/>
      <c r="I964"/>
      <c r="J964"/>
      <c r="K964"/>
      <c r="L964"/>
      <c r="M964"/>
      <c r="N964"/>
      <c r="O964"/>
      <c r="P964"/>
    </row>
    <row r="965" spans="1:18" ht="33" customHeight="1" x14ac:dyDescent="0.2">
      <c r="A965"/>
      <c r="B965"/>
      <c r="C965"/>
      <c r="H965"/>
      <c r="I965"/>
      <c r="J965"/>
      <c r="K965"/>
      <c r="L965"/>
      <c r="M965"/>
      <c r="N965"/>
      <c r="O965"/>
      <c r="P965"/>
    </row>
    <row r="966" spans="1:18" ht="19.5" customHeight="1" x14ac:dyDescent="0.2">
      <c r="A966"/>
      <c r="B966"/>
      <c r="C966"/>
      <c r="H966"/>
      <c r="I966"/>
      <c r="J966"/>
      <c r="K966"/>
      <c r="L966"/>
      <c r="M966"/>
      <c r="N966"/>
      <c r="O966"/>
      <c r="P966"/>
    </row>
    <row r="967" spans="1:18" x14ac:dyDescent="0.2">
      <c r="A967"/>
      <c r="B967"/>
      <c r="C967"/>
      <c r="H967"/>
      <c r="I967"/>
      <c r="J967"/>
      <c r="K967"/>
      <c r="L967"/>
      <c r="M967"/>
      <c r="N967"/>
      <c r="O967"/>
      <c r="P967"/>
    </row>
    <row r="968" spans="1:18" x14ac:dyDescent="0.2">
      <c r="A968"/>
      <c r="B968"/>
      <c r="C968"/>
      <c r="H968"/>
      <c r="I968"/>
      <c r="J968"/>
      <c r="K968"/>
      <c r="L968"/>
      <c r="M968"/>
      <c r="N968"/>
      <c r="O968"/>
      <c r="P968"/>
    </row>
    <row r="969" spans="1:18" ht="12" customHeight="1" x14ac:dyDescent="0.2">
      <c r="A969"/>
      <c r="B969"/>
      <c r="C969"/>
      <c r="H969"/>
      <c r="I969"/>
      <c r="J969"/>
      <c r="K969"/>
      <c r="L969"/>
      <c r="M969"/>
      <c r="N969"/>
      <c r="O969"/>
      <c r="P969"/>
    </row>
    <row r="970" spans="1:18" ht="12" customHeight="1" x14ac:dyDescent="0.2">
      <c r="A970"/>
      <c r="B970"/>
      <c r="C970"/>
      <c r="H970"/>
      <c r="I970"/>
      <c r="J970"/>
      <c r="K970"/>
      <c r="L970"/>
      <c r="M970"/>
      <c r="N970"/>
      <c r="O970"/>
      <c r="P970"/>
    </row>
    <row r="971" spans="1:18" ht="12" customHeight="1" x14ac:dyDescent="0.2">
      <c r="A971"/>
      <c r="B971"/>
      <c r="C971"/>
      <c r="H971"/>
      <c r="I971"/>
      <c r="J971"/>
      <c r="K971"/>
      <c r="L971"/>
      <c r="M971"/>
      <c r="N971"/>
      <c r="O971"/>
      <c r="P971"/>
    </row>
    <row r="972" spans="1:18" s="485" customFormat="1" ht="14.25" customHeight="1" x14ac:dyDescent="0.2">
      <c r="R972" s="1008"/>
    </row>
    <row r="973" spans="1:18" s="485" customFormat="1" ht="14.25" customHeight="1" x14ac:dyDescent="0.2">
      <c r="R973" s="1008"/>
    </row>
    <row r="974" spans="1:18" ht="15" customHeight="1" x14ac:dyDescent="0.2">
      <c r="A974"/>
      <c r="B974"/>
      <c r="C974"/>
      <c r="H974"/>
      <c r="I974"/>
      <c r="J974"/>
      <c r="K974"/>
      <c r="L974"/>
      <c r="M974"/>
      <c r="N974"/>
      <c r="O974"/>
      <c r="P974"/>
    </row>
    <row r="975" spans="1:18" x14ac:dyDescent="0.2">
      <c r="A975"/>
      <c r="B975"/>
      <c r="C975"/>
      <c r="H975"/>
      <c r="I975"/>
      <c r="J975"/>
      <c r="K975"/>
      <c r="L975"/>
      <c r="M975"/>
      <c r="N975"/>
      <c r="O975"/>
      <c r="P975"/>
    </row>
    <row r="976" spans="1:18" ht="12" customHeight="1" x14ac:dyDescent="0.2">
      <c r="A976"/>
      <c r="B976"/>
      <c r="C976"/>
      <c r="H976"/>
      <c r="I976"/>
      <c r="J976"/>
      <c r="K976"/>
      <c r="L976"/>
      <c r="M976"/>
      <c r="N976"/>
      <c r="O976"/>
      <c r="P976"/>
    </row>
    <row r="977" spans="1:18" ht="12" customHeight="1" x14ac:dyDescent="0.2">
      <c r="A977"/>
      <c r="B977"/>
      <c r="C977"/>
      <c r="H977"/>
      <c r="I977"/>
      <c r="J977"/>
      <c r="K977"/>
      <c r="L977"/>
      <c r="M977"/>
      <c r="N977"/>
      <c r="O977"/>
      <c r="P977"/>
    </row>
    <row r="978" spans="1:18" x14ac:dyDescent="0.2">
      <c r="A978"/>
      <c r="B978"/>
      <c r="C978"/>
      <c r="H978"/>
      <c r="I978"/>
      <c r="J978"/>
      <c r="K978"/>
      <c r="L978"/>
      <c r="M978"/>
      <c r="N978"/>
      <c r="O978"/>
      <c r="P978"/>
    </row>
    <row r="979" spans="1:18" s="485" customFormat="1" ht="23.25" customHeight="1" x14ac:dyDescent="0.2">
      <c r="R979" s="1008"/>
    </row>
    <row r="980" spans="1:18" s="485" customFormat="1" ht="23.25" customHeight="1" x14ac:dyDescent="0.2">
      <c r="R980" s="1008"/>
    </row>
    <row r="981" spans="1:18" s="485" customFormat="1" ht="21.75" customHeight="1" x14ac:dyDescent="0.2">
      <c r="R981" s="1008"/>
    </row>
    <row r="982" spans="1:18" ht="12" customHeight="1" x14ac:dyDescent="0.2">
      <c r="A982"/>
      <c r="B982"/>
      <c r="C982"/>
      <c r="H982"/>
      <c r="I982"/>
      <c r="J982"/>
      <c r="K982"/>
      <c r="L982"/>
      <c r="M982"/>
      <c r="N982"/>
      <c r="O982"/>
      <c r="P982"/>
    </row>
    <row r="983" spans="1:18" s="485" customFormat="1" ht="23.25" customHeight="1" x14ac:dyDescent="0.2">
      <c r="R983" s="1008"/>
    </row>
    <row r="984" spans="1:18" x14ac:dyDescent="0.2">
      <c r="A984"/>
      <c r="B984"/>
      <c r="C984"/>
      <c r="H984"/>
      <c r="I984"/>
      <c r="J984"/>
      <c r="K984"/>
      <c r="L984"/>
      <c r="M984"/>
      <c r="N984"/>
      <c r="O984"/>
      <c r="P984"/>
    </row>
    <row r="985" spans="1:18" ht="12" customHeight="1" x14ac:dyDescent="0.2">
      <c r="A985"/>
      <c r="B985"/>
      <c r="C985"/>
      <c r="H985"/>
      <c r="I985"/>
      <c r="J985"/>
      <c r="K985"/>
      <c r="L985"/>
      <c r="M985"/>
      <c r="N985"/>
      <c r="O985"/>
      <c r="P985"/>
    </row>
    <row r="986" spans="1:18" ht="12" customHeight="1" x14ac:dyDescent="0.2">
      <c r="A986"/>
      <c r="B986"/>
      <c r="C986"/>
      <c r="H986"/>
      <c r="I986"/>
      <c r="J986"/>
      <c r="K986"/>
      <c r="L986"/>
      <c r="M986"/>
      <c r="N986"/>
      <c r="O986"/>
      <c r="P986"/>
    </row>
    <row r="987" spans="1:18" ht="12" customHeight="1" x14ac:dyDescent="0.2">
      <c r="A987"/>
      <c r="B987"/>
      <c r="C987"/>
      <c r="H987"/>
      <c r="I987"/>
      <c r="J987"/>
      <c r="K987"/>
      <c r="L987"/>
      <c r="M987"/>
      <c r="N987"/>
      <c r="O987"/>
      <c r="P987"/>
    </row>
    <row r="988" spans="1:18" ht="12" customHeight="1" x14ac:dyDescent="0.2">
      <c r="A988"/>
      <c r="B988"/>
      <c r="C988"/>
      <c r="H988"/>
      <c r="I988"/>
      <c r="J988"/>
      <c r="K988"/>
      <c r="L988"/>
      <c r="M988"/>
      <c r="N988"/>
      <c r="O988"/>
      <c r="P988"/>
    </row>
    <row r="989" spans="1:18" ht="12" customHeight="1" x14ac:dyDescent="0.2">
      <c r="A989"/>
      <c r="B989"/>
      <c r="C989"/>
      <c r="H989"/>
      <c r="I989"/>
      <c r="J989"/>
      <c r="K989"/>
      <c r="L989"/>
      <c r="M989"/>
      <c r="N989"/>
      <c r="O989"/>
      <c r="P989"/>
    </row>
    <row r="990" spans="1:18" ht="12" customHeight="1" x14ac:dyDescent="0.2">
      <c r="A990"/>
      <c r="B990"/>
      <c r="C990"/>
      <c r="H990"/>
      <c r="I990"/>
      <c r="J990"/>
      <c r="K990"/>
      <c r="L990"/>
      <c r="M990"/>
      <c r="N990"/>
      <c r="O990"/>
      <c r="P990"/>
    </row>
    <row r="991" spans="1:18" ht="12" customHeight="1" x14ac:dyDescent="0.2">
      <c r="A991"/>
      <c r="B991"/>
      <c r="C991"/>
      <c r="H991"/>
      <c r="I991"/>
      <c r="J991"/>
      <c r="K991"/>
      <c r="L991"/>
      <c r="M991"/>
      <c r="N991"/>
      <c r="O991"/>
      <c r="P991"/>
    </row>
    <row r="992" spans="1:18" ht="12" customHeight="1" x14ac:dyDescent="0.2">
      <c r="A992"/>
      <c r="B992"/>
      <c r="C992"/>
      <c r="H992"/>
      <c r="I992"/>
      <c r="J992"/>
      <c r="K992"/>
      <c r="L992"/>
      <c r="M992"/>
      <c r="N992"/>
      <c r="O992"/>
      <c r="P992"/>
    </row>
    <row r="993" spans="1:16" ht="12" customHeight="1" x14ac:dyDescent="0.2">
      <c r="A993"/>
      <c r="B993"/>
      <c r="C993"/>
      <c r="H993"/>
      <c r="I993"/>
      <c r="J993"/>
      <c r="K993"/>
      <c r="L993"/>
      <c r="M993"/>
      <c r="N993"/>
      <c r="O993"/>
      <c r="P993"/>
    </row>
    <row r="994" spans="1:16" ht="12" customHeight="1" x14ac:dyDescent="0.2">
      <c r="A994"/>
      <c r="B994"/>
      <c r="C994"/>
      <c r="H994"/>
      <c r="I994"/>
      <c r="J994"/>
      <c r="K994"/>
      <c r="L994"/>
      <c r="M994"/>
      <c r="N994"/>
      <c r="O994"/>
      <c r="P994"/>
    </row>
    <row r="995" spans="1:16" ht="12" customHeight="1" x14ac:dyDescent="0.2">
      <c r="A995"/>
      <c r="B995"/>
      <c r="C995"/>
      <c r="H995"/>
      <c r="I995"/>
      <c r="J995"/>
      <c r="K995"/>
      <c r="L995"/>
      <c r="M995"/>
      <c r="N995"/>
      <c r="O995"/>
      <c r="P995"/>
    </row>
    <row r="996" spans="1:16" ht="12" customHeight="1" x14ac:dyDescent="0.2">
      <c r="A996"/>
      <c r="B996"/>
      <c r="C996"/>
      <c r="H996"/>
      <c r="I996"/>
      <c r="J996"/>
      <c r="K996"/>
      <c r="L996"/>
      <c r="M996"/>
      <c r="N996"/>
      <c r="O996"/>
      <c r="P996"/>
    </row>
    <row r="997" spans="1:16" ht="12" customHeight="1" x14ac:dyDescent="0.2">
      <c r="A997"/>
      <c r="B997"/>
      <c r="C997"/>
      <c r="H997"/>
      <c r="I997"/>
      <c r="J997"/>
      <c r="K997"/>
      <c r="L997"/>
      <c r="M997"/>
      <c r="N997"/>
      <c r="O997"/>
      <c r="P997"/>
    </row>
    <row r="998" spans="1:16" ht="12" customHeight="1" x14ac:dyDescent="0.2">
      <c r="A998"/>
      <c r="B998"/>
      <c r="C998"/>
      <c r="H998"/>
      <c r="I998"/>
      <c r="J998"/>
      <c r="K998"/>
      <c r="L998"/>
      <c r="M998"/>
      <c r="N998"/>
      <c r="O998"/>
      <c r="P998"/>
    </row>
    <row r="999" spans="1:16" ht="12" customHeight="1" x14ac:dyDescent="0.2">
      <c r="A999"/>
      <c r="B999"/>
      <c r="C999"/>
      <c r="H999"/>
      <c r="I999"/>
      <c r="J999"/>
      <c r="K999"/>
      <c r="L999"/>
      <c r="M999"/>
      <c r="N999"/>
      <c r="O999"/>
      <c r="P999"/>
    </row>
    <row r="1000" spans="1:16" ht="12" customHeight="1" x14ac:dyDescent="0.2">
      <c r="A1000"/>
      <c r="B1000"/>
      <c r="C1000"/>
      <c r="H1000"/>
      <c r="I1000"/>
      <c r="J1000"/>
      <c r="K1000"/>
      <c r="L1000"/>
      <c r="M1000"/>
      <c r="N1000"/>
      <c r="O1000"/>
      <c r="P1000"/>
    </row>
    <row r="1001" spans="1:16" ht="12" customHeight="1" x14ac:dyDescent="0.2">
      <c r="A1001"/>
      <c r="B1001"/>
      <c r="C1001"/>
      <c r="H1001"/>
      <c r="I1001"/>
      <c r="J1001"/>
      <c r="K1001"/>
      <c r="L1001"/>
      <c r="M1001"/>
      <c r="N1001"/>
      <c r="O1001"/>
      <c r="P1001"/>
    </row>
    <row r="1002" spans="1:16" ht="12" customHeight="1" x14ac:dyDescent="0.2">
      <c r="A1002"/>
      <c r="B1002"/>
      <c r="C1002"/>
      <c r="H1002"/>
      <c r="I1002"/>
      <c r="J1002"/>
      <c r="K1002"/>
      <c r="L1002"/>
      <c r="M1002"/>
      <c r="N1002"/>
      <c r="O1002"/>
      <c r="P1002"/>
    </row>
    <row r="1003" spans="1:16" ht="12" customHeight="1" x14ac:dyDescent="0.2">
      <c r="A1003"/>
      <c r="B1003"/>
      <c r="C1003"/>
      <c r="H1003"/>
      <c r="I1003"/>
      <c r="J1003"/>
      <c r="K1003"/>
      <c r="L1003"/>
      <c r="M1003"/>
      <c r="N1003"/>
      <c r="O1003"/>
      <c r="P1003"/>
    </row>
    <row r="1004" spans="1:16" ht="12" customHeight="1" x14ac:dyDescent="0.2">
      <c r="A1004"/>
      <c r="B1004"/>
      <c r="C1004"/>
      <c r="H1004"/>
      <c r="I1004"/>
      <c r="J1004"/>
      <c r="K1004"/>
      <c r="L1004"/>
      <c r="M1004"/>
      <c r="N1004"/>
      <c r="O1004"/>
      <c r="P1004"/>
    </row>
    <row r="1005" spans="1:16" ht="12" customHeight="1" x14ac:dyDescent="0.2">
      <c r="A1005"/>
      <c r="B1005"/>
      <c r="C1005"/>
      <c r="H1005"/>
      <c r="I1005"/>
      <c r="J1005"/>
      <c r="K1005"/>
      <c r="L1005"/>
      <c r="M1005"/>
      <c r="N1005"/>
      <c r="O1005"/>
      <c r="P1005"/>
    </row>
    <row r="1006" spans="1:16" ht="12" customHeight="1" x14ac:dyDescent="0.2">
      <c r="A1006"/>
      <c r="B1006"/>
      <c r="C1006"/>
      <c r="H1006"/>
      <c r="I1006"/>
      <c r="J1006"/>
      <c r="K1006"/>
      <c r="L1006"/>
      <c r="M1006"/>
      <c r="N1006"/>
      <c r="O1006"/>
      <c r="P1006"/>
    </row>
    <row r="1007" spans="1:16" ht="12" customHeight="1" x14ac:dyDescent="0.2">
      <c r="A1007"/>
      <c r="B1007"/>
      <c r="C1007"/>
      <c r="H1007"/>
      <c r="I1007"/>
      <c r="J1007"/>
      <c r="K1007"/>
      <c r="L1007"/>
      <c r="M1007"/>
      <c r="N1007"/>
      <c r="O1007"/>
      <c r="P1007"/>
    </row>
    <row r="1008" spans="1:16" ht="12" customHeight="1" x14ac:dyDescent="0.2">
      <c r="A1008"/>
      <c r="B1008"/>
      <c r="C1008"/>
      <c r="H1008"/>
      <c r="I1008"/>
      <c r="J1008"/>
      <c r="K1008"/>
      <c r="L1008"/>
      <c r="M1008"/>
      <c r="N1008"/>
      <c r="O1008"/>
      <c r="P1008"/>
    </row>
    <row r="1009" spans="1:16" ht="12" customHeight="1" x14ac:dyDescent="0.2">
      <c r="A1009"/>
      <c r="B1009"/>
      <c r="C1009"/>
      <c r="H1009"/>
      <c r="I1009"/>
      <c r="J1009"/>
      <c r="K1009"/>
      <c r="L1009"/>
      <c r="M1009"/>
      <c r="N1009"/>
      <c r="O1009"/>
      <c r="P1009"/>
    </row>
    <row r="1010" spans="1:16" ht="12" customHeight="1" x14ac:dyDescent="0.2">
      <c r="A1010"/>
      <c r="B1010"/>
      <c r="C1010"/>
      <c r="H1010"/>
      <c r="I1010"/>
      <c r="J1010"/>
      <c r="K1010"/>
      <c r="L1010"/>
      <c r="M1010"/>
      <c r="N1010"/>
      <c r="O1010"/>
      <c r="P1010"/>
    </row>
    <row r="1011" spans="1:16" ht="12" customHeight="1" x14ac:dyDescent="0.2">
      <c r="A1011"/>
      <c r="B1011"/>
      <c r="C1011"/>
      <c r="H1011"/>
      <c r="I1011"/>
      <c r="J1011"/>
      <c r="K1011"/>
      <c r="L1011"/>
      <c r="M1011"/>
      <c r="N1011"/>
      <c r="O1011"/>
      <c r="P1011"/>
    </row>
    <row r="1012" spans="1:16" ht="12" customHeight="1" x14ac:dyDescent="0.2">
      <c r="A1012"/>
      <c r="B1012"/>
      <c r="C1012"/>
      <c r="H1012"/>
      <c r="I1012"/>
      <c r="J1012"/>
      <c r="K1012"/>
      <c r="L1012"/>
      <c r="M1012"/>
      <c r="N1012"/>
      <c r="O1012"/>
      <c r="P1012"/>
    </row>
    <row r="1013" spans="1:16" ht="12" customHeight="1" x14ac:dyDescent="0.2">
      <c r="A1013"/>
      <c r="B1013"/>
      <c r="C1013"/>
      <c r="H1013"/>
      <c r="I1013"/>
      <c r="J1013"/>
      <c r="K1013"/>
      <c r="L1013"/>
      <c r="M1013"/>
      <c r="N1013"/>
      <c r="O1013"/>
      <c r="P1013"/>
    </row>
    <row r="1014" spans="1:16" ht="12" customHeight="1" x14ac:dyDescent="0.2">
      <c r="A1014"/>
      <c r="B1014"/>
      <c r="C1014"/>
      <c r="H1014"/>
      <c r="I1014"/>
      <c r="J1014"/>
      <c r="K1014"/>
      <c r="L1014"/>
      <c r="M1014"/>
      <c r="N1014"/>
      <c r="O1014"/>
      <c r="P1014"/>
    </row>
    <row r="1015" spans="1:16" ht="12" customHeight="1" x14ac:dyDescent="0.2">
      <c r="A1015"/>
      <c r="B1015"/>
      <c r="C1015"/>
      <c r="H1015"/>
      <c r="I1015"/>
      <c r="J1015"/>
      <c r="K1015"/>
      <c r="L1015"/>
      <c r="M1015"/>
      <c r="N1015"/>
      <c r="O1015"/>
      <c r="P1015"/>
    </row>
    <row r="1016" spans="1:16" ht="12" customHeight="1" x14ac:dyDescent="0.2">
      <c r="A1016"/>
      <c r="B1016"/>
      <c r="C1016"/>
      <c r="H1016"/>
      <c r="I1016"/>
      <c r="J1016"/>
      <c r="K1016"/>
      <c r="L1016"/>
      <c r="M1016"/>
      <c r="N1016"/>
      <c r="O1016"/>
      <c r="P1016"/>
    </row>
    <row r="1017" spans="1:16" ht="12" customHeight="1" x14ac:dyDescent="0.2">
      <c r="A1017"/>
      <c r="B1017"/>
      <c r="C1017"/>
      <c r="H1017"/>
      <c r="I1017"/>
      <c r="J1017"/>
      <c r="K1017"/>
      <c r="L1017"/>
      <c r="M1017"/>
      <c r="N1017"/>
      <c r="O1017"/>
      <c r="P1017"/>
    </row>
    <row r="1018" spans="1:16" ht="12" customHeight="1" x14ac:dyDescent="0.2">
      <c r="A1018"/>
      <c r="B1018"/>
      <c r="C1018"/>
      <c r="H1018"/>
      <c r="I1018"/>
      <c r="J1018"/>
      <c r="K1018"/>
      <c r="L1018"/>
      <c r="M1018"/>
      <c r="N1018"/>
      <c r="O1018"/>
      <c r="P1018"/>
    </row>
    <row r="1019" spans="1:16" ht="15" customHeight="1" x14ac:dyDescent="0.2">
      <c r="A1019"/>
      <c r="B1019"/>
      <c r="C1019"/>
      <c r="H1019"/>
      <c r="I1019"/>
      <c r="J1019"/>
      <c r="K1019"/>
      <c r="L1019"/>
      <c r="M1019"/>
      <c r="N1019"/>
      <c r="O1019"/>
      <c r="P1019"/>
    </row>
    <row r="1020" spans="1:16" ht="12" customHeight="1" x14ac:dyDescent="0.2">
      <c r="A1020"/>
      <c r="B1020"/>
      <c r="C1020"/>
      <c r="H1020"/>
      <c r="I1020"/>
      <c r="J1020"/>
      <c r="K1020"/>
      <c r="L1020"/>
      <c r="M1020"/>
      <c r="N1020"/>
      <c r="O1020"/>
      <c r="P1020"/>
    </row>
    <row r="1021" spans="1:16" ht="12" customHeight="1" x14ac:dyDescent="0.2">
      <c r="A1021"/>
      <c r="B1021"/>
      <c r="C1021"/>
      <c r="H1021"/>
      <c r="I1021"/>
      <c r="J1021"/>
      <c r="K1021"/>
      <c r="L1021"/>
      <c r="M1021"/>
      <c r="N1021"/>
      <c r="O1021"/>
      <c r="P1021"/>
    </row>
    <row r="1022" spans="1:16" ht="15" customHeight="1" x14ac:dyDescent="0.2">
      <c r="A1022"/>
      <c r="B1022"/>
      <c r="C1022"/>
      <c r="H1022"/>
      <c r="I1022"/>
      <c r="J1022"/>
      <c r="K1022"/>
      <c r="L1022"/>
      <c r="M1022"/>
      <c r="N1022"/>
      <c r="O1022"/>
      <c r="P1022"/>
    </row>
    <row r="1023" spans="1:16" ht="12" customHeight="1" x14ac:dyDescent="0.2">
      <c r="A1023"/>
      <c r="B1023"/>
      <c r="C1023"/>
      <c r="H1023"/>
      <c r="I1023"/>
      <c r="J1023"/>
      <c r="K1023"/>
      <c r="L1023"/>
      <c r="M1023"/>
      <c r="N1023"/>
      <c r="O1023"/>
      <c r="P1023"/>
    </row>
    <row r="1024" spans="1:16" ht="12" customHeight="1" x14ac:dyDescent="0.2">
      <c r="A1024"/>
      <c r="B1024"/>
      <c r="C1024"/>
      <c r="H1024"/>
      <c r="I1024"/>
      <c r="J1024"/>
      <c r="K1024"/>
      <c r="L1024"/>
      <c r="M1024"/>
      <c r="N1024"/>
      <c r="O1024"/>
      <c r="P1024"/>
    </row>
    <row r="1025" spans="1:16" ht="12" customHeight="1" x14ac:dyDescent="0.2">
      <c r="A1025"/>
      <c r="B1025"/>
      <c r="C1025"/>
      <c r="H1025"/>
      <c r="I1025"/>
      <c r="J1025"/>
      <c r="K1025"/>
      <c r="L1025"/>
      <c r="M1025"/>
      <c r="N1025"/>
      <c r="O1025"/>
      <c r="P1025"/>
    </row>
    <row r="1026" spans="1:16" ht="12" customHeight="1" x14ac:dyDescent="0.2">
      <c r="A1026"/>
      <c r="B1026"/>
      <c r="C1026"/>
      <c r="H1026"/>
      <c r="I1026"/>
      <c r="J1026"/>
      <c r="K1026"/>
      <c r="L1026"/>
      <c r="M1026"/>
      <c r="N1026"/>
      <c r="O1026"/>
      <c r="P1026"/>
    </row>
    <row r="1027" spans="1:16" ht="12" customHeight="1" x14ac:dyDescent="0.2">
      <c r="A1027"/>
      <c r="B1027"/>
      <c r="C1027"/>
      <c r="H1027"/>
      <c r="I1027"/>
      <c r="J1027"/>
      <c r="K1027"/>
      <c r="L1027"/>
      <c r="M1027"/>
      <c r="N1027"/>
      <c r="O1027"/>
      <c r="P1027"/>
    </row>
    <row r="1028" spans="1:16" ht="12" customHeight="1" x14ac:dyDescent="0.2">
      <c r="A1028"/>
      <c r="B1028"/>
      <c r="C1028"/>
      <c r="H1028"/>
      <c r="I1028"/>
      <c r="J1028"/>
      <c r="K1028"/>
      <c r="L1028"/>
      <c r="M1028"/>
      <c r="N1028"/>
      <c r="O1028"/>
      <c r="P1028"/>
    </row>
    <row r="1029" spans="1:16" ht="12" customHeight="1" x14ac:dyDescent="0.2">
      <c r="A1029"/>
      <c r="B1029"/>
      <c r="C1029"/>
      <c r="H1029"/>
      <c r="I1029"/>
      <c r="J1029"/>
      <c r="K1029"/>
      <c r="L1029"/>
      <c r="M1029"/>
      <c r="N1029"/>
      <c r="O1029"/>
      <c r="P1029"/>
    </row>
    <row r="1030" spans="1:16" ht="12" customHeight="1" x14ac:dyDescent="0.2">
      <c r="A1030"/>
      <c r="B1030"/>
      <c r="C1030"/>
      <c r="H1030"/>
      <c r="I1030"/>
      <c r="J1030"/>
      <c r="K1030"/>
      <c r="L1030"/>
      <c r="M1030"/>
      <c r="N1030"/>
      <c r="O1030"/>
      <c r="P1030"/>
    </row>
    <row r="1031" spans="1:16" ht="12" customHeight="1" x14ac:dyDescent="0.2">
      <c r="A1031"/>
      <c r="B1031"/>
      <c r="C1031"/>
      <c r="H1031"/>
      <c r="I1031"/>
      <c r="J1031"/>
      <c r="K1031"/>
      <c r="L1031"/>
      <c r="M1031"/>
      <c r="N1031"/>
      <c r="O1031"/>
      <c r="P1031"/>
    </row>
    <row r="1032" spans="1:16" ht="12" customHeight="1" x14ac:dyDescent="0.2">
      <c r="A1032"/>
      <c r="B1032"/>
      <c r="C1032"/>
      <c r="H1032"/>
      <c r="I1032"/>
      <c r="J1032"/>
      <c r="K1032"/>
      <c r="L1032"/>
      <c r="M1032"/>
      <c r="N1032"/>
      <c r="O1032"/>
      <c r="P1032"/>
    </row>
    <row r="1033" spans="1:16" ht="15" customHeight="1" x14ac:dyDescent="0.2">
      <c r="A1033"/>
      <c r="B1033"/>
      <c r="C1033"/>
      <c r="H1033"/>
      <c r="I1033"/>
      <c r="J1033"/>
      <c r="K1033"/>
      <c r="L1033"/>
      <c r="M1033"/>
      <c r="N1033"/>
      <c r="O1033"/>
      <c r="P1033"/>
    </row>
    <row r="1034" spans="1:16" ht="15" customHeight="1" x14ac:dyDescent="0.2">
      <c r="A1034"/>
      <c r="B1034"/>
      <c r="C1034"/>
      <c r="H1034"/>
      <c r="I1034"/>
      <c r="J1034"/>
      <c r="K1034"/>
      <c r="L1034"/>
      <c r="M1034"/>
      <c r="N1034"/>
      <c r="O1034"/>
      <c r="P1034"/>
    </row>
    <row r="1035" spans="1:16" ht="15" customHeight="1" x14ac:dyDescent="0.2">
      <c r="A1035"/>
      <c r="B1035"/>
      <c r="C1035"/>
      <c r="H1035"/>
      <c r="I1035"/>
      <c r="J1035"/>
      <c r="K1035"/>
      <c r="L1035"/>
      <c r="M1035"/>
      <c r="N1035"/>
      <c r="O1035"/>
      <c r="P1035"/>
    </row>
    <row r="1036" spans="1:16" ht="15" customHeight="1" x14ac:dyDescent="0.2">
      <c r="A1036"/>
      <c r="B1036"/>
      <c r="C1036"/>
      <c r="H1036"/>
      <c r="I1036"/>
      <c r="J1036"/>
      <c r="K1036"/>
      <c r="L1036"/>
      <c r="M1036"/>
      <c r="N1036"/>
      <c r="O1036"/>
      <c r="P1036"/>
    </row>
    <row r="1037" spans="1:16" ht="15" customHeight="1" x14ac:dyDescent="0.2">
      <c r="A1037"/>
      <c r="B1037"/>
      <c r="C1037"/>
      <c r="H1037"/>
      <c r="I1037"/>
      <c r="J1037"/>
      <c r="K1037"/>
      <c r="L1037"/>
      <c r="M1037"/>
      <c r="N1037"/>
      <c r="O1037"/>
      <c r="P1037"/>
    </row>
    <row r="1038" spans="1:16" ht="15" customHeight="1" x14ac:dyDescent="0.2">
      <c r="A1038"/>
      <c r="B1038"/>
      <c r="C1038"/>
      <c r="H1038"/>
      <c r="I1038"/>
      <c r="J1038"/>
      <c r="K1038"/>
      <c r="L1038"/>
      <c r="M1038"/>
      <c r="N1038"/>
      <c r="O1038"/>
      <c r="P1038"/>
    </row>
    <row r="1039" spans="1:16" ht="15" customHeight="1" x14ac:dyDescent="0.2">
      <c r="A1039"/>
      <c r="B1039"/>
      <c r="C1039"/>
      <c r="H1039"/>
      <c r="I1039"/>
      <c r="J1039"/>
      <c r="K1039"/>
      <c r="L1039"/>
      <c r="M1039"/>
      <c r="N1039"/>
      <c r="O1039"/>
      <c r="P1039"/>
    </row>
    <row r="1040" spans="1:16" ht="15" customHeight="1" x14ac:dyDescent="0.2">
      <c r="A1040"/>
      <c r="B1040"/>
      <c r="C1040"/>
      <c r="H1040"/>
      <c r="I1040"/>
      <c r="J1040"/>
      <c r="K1040"/>
      <c r="L1040"/>
      <c r="M1040"/>
      <c r="N1040"/>
      <c r="O1040"/>
      <c r="P1040"/>
    </row>
    <row r="1041" spans="1:16" ht="15" customHeight="1" x14ac:dyDescent="0.2">
      <c r="A1041"/>
      <c r="B1041"/>
      <c r="C1041"/>
      <c r="H1041"/>
      <c r="I1041"/>
      <c r="J1041"/>
      <c r="K1041"/>
      <c r="L1041"/>
      <c r="M1041"/>
      <c r="N1041"/>
      <c r="O1041"/>
      <c r="P1041"/>
    </row>
    <row r="1042" spans="1:16" ht="15" customHeight="1" x14ac:dyDescent="0.2">
      <c r="A1042"/>
      <c r="B1042"/>
      <c r="C1042"/>
      <c r="H1042"/>
      <c r="I1042"/>
      <c r="J1042"/>
      <c r="K1042"/>
      <c r="L1042"/>
      <c r="M1042"/>
      <c r="N1042"/>
      <c r="O1042"/>
      <c r="P1042"/>
    </row>
    <row r="1043" spans="1:16" ht="15" customHeight="1" x14ac:dyDescent="0.2">
      <c r="A1043"/>
      <c r="B1043"/>
      <c r="C1043"/>
      <c r="H1043"/>
      <c r="I1043"/>
      <c r="J1043"/>
      <c r="K1043"/>
      <c r="L1043"/>
      <c r="M1043"/>
      <c r="N1043"/>
      <c r="O1043"/>
      <c r="P1043"/>
    </row>
    <row r="1044" spans="1:16" ht="15" customHeight="1" x14ac:dyDescent="0.2">
      <c r="A1044"/>
      <c r="B1044"/>
      <c r="C1044"/>
      <c r="H1044"/>
      <c r="I1044"/>
      <c r="J1044"/>
      <c r="K1044"/>
      <c r="L1044"/>
      <c r="M1044"/>
      <c r="N1044"/>
      <c r="O1044"/>
      <c r="P1044"/>
    </row>
    <row r="1045" spans="1:16" ht="15" customHeight="1" x14ac:dyDescent="0.2">
      <c r="A1045"/>
      <c r="B1045"/>
      <c r="C1045"/>
      <c r="H1045"/>
      <c r="I1045"/>
      <c r="J1045"/>
      <c r="K1045"/>
      <c r="L1045"/>
      <c r="M1045"/>
      <c r="N1045"/>
      <c r="O1045"/>
      <c r="P1045"/>
    </row>
    <row r="1046" spans="1:16" ht="15" customHeight="1" x14ac:dyDescent="0.2">
      <c r="A1046"/>
      <c r="B1046"/>
      <c r="C1046"/>
      <c r="H1046"/>
      <c r="I1046"/>
      <c r="J1046"/>
      <c r="K1046"/>
      <c r="L1046"/>
      <c r="M1046"/>
      <c r="N1046"/>
      <c r="O1046"/>
      <c r="P1046"/>
    </row>
    <row r="1047" spans="1:16" ht="15" customHeight="1" x14ac:dyDescent="0.2">
      <c r="A1047"/>
      <c r="B1047"/>
      <c r="C1047"/>
      <c r="H1047"/>
      <c r="I1047"/>
      <c r="J1047"/>
      <c r="K1047"/>
      <c r="L1047"/>
      <c r="M1047"/>
      <c r="N1047"/>
      <c r="O1047"/>
      <c r="P1047"/>
    </row>
    <row r="1048" spans="1:16" ht="15" customHeight="1" x14ac:dyDescent="0.2">
      <c r="A1048"/>
      <c r="B1048"/>
      <c r="C1048"/>
      <c r="H1048"/>
      <c r="I1048"/>
      <c r="J1048"/>
      <c r="K1048"/>
      <c r="L1048"/>
      <c r="M1048"/>
      <c r="N1048"/>
      <c r="O1048"/>
      <c r="P1048"/>
    </row>
    <row r="1049" spans="1:16" ht="15" customHeight="1" x14ac:dyDescent="0.2">
      <c r="A1049"/>
      <c r="B1049"/>
      <c r="C1049"/>
      <c r="H1049"/>
      <c r="I1049"/>
      <c r="J1049"/>
      <c r="K1049"/>
      <c r="L1049"/>
      <c r="M1049"/>
      <c r="N1049"/>
      <c r="O1049"/>
      <c r="P1049"/>
    </row>
    <row r="1050" spans="1:16" ht="15" customHeight="1" x14ac:dyDescent="0.2">
      <c r="A1050"/>
      <c r="B1050"/>
      <c r="C1050"/>
      <c r="H1050"/>
      <c r="I1050"/>
      <c r="J1050"/>
      <c r="K1050"/>
      <c r="L1050"/>
      <c r="M1050"/>
      <c r="N1050"/>
      <c r="O1050"/>
      <c r="P1050"/>
    </row>
    <row r="1051" spans="1:16" ht="15" customHeight="1" x14ac:dyDescent="0.2">
      <c r="A1051"/>
      <c r="B1051"/>
      <c r="C1051"/>
      <c r="H1051"/>
      <c r="I1051"/>
      <c r="J1051"/>
      <c r="K1051"/>
      <c r="L1051"/>
      <c r="M1051"/>
      <c r="N1051"/>
      <c r="O1051"/>
      <c r="P1051"/>
    </row>
    <row r="1052" spans="1:16" ht="15" customHeight="1" x14ac:dyDescent="0.2">
      <c r="A1052"/>
      <c r="B1052"/>
      <c r="C1052"/>
      <c r="H1052"/>
      <c r="I1052"/>
      <c r="J1052"/>
      <c r="K1052"/>
      <c r="L1052"/>
      <c r="M1052"/>
      <c r="N1052"/>
      <c r="O1052"/>
      <c r="P1052"/>
    </row>
    <row r="1053" spans="1:16" ht="15" customHeight="1" x14ac:dyDescent="0.2">
      <c r="A1053"/>
      <c r="B1053"/>
      <c r="C1053"/>
      <c r="H1053"/>
      <c r="I1053"/>
      <c r="J1053"/>
      <c r="K1053"/>
      <c r="L1053"/>
      <c r="M1053"/>
      <c r="N1053"/>
      <c r="O1053"/>
      <c r="P1053"/>
    </row>
    <row r="1054" spans="1:16" ht="15" customHeight="1" x14ac:dyDescent="0.2">
      <c r="A1054"/>
      <c r="B1054"/>
      <c r="C1054"/>
      <c r="H1054"/>
      <c r="I1054"/>
      <c r="J1054"/>
      <c r="K1054"/>
      <c r="L1054"/>
      <c r="M1054"/>
      <c r="N1054"/>
      <c r="O1054"/>
      <c r="P1054"/>
    </row>
    <row r="1055" spans="1:16" ht="15" customHeight="1" x14ac:dyDescent="0.2">
      <c r="A1055"/>
      <c r="B1055"/>
      <c r="C1055"/>
      <c r="H1055"/>
      <c r="I1055"/>
      <c r="J1055"/>
      <c r="K1055"/>
      <c r="L1055"/>
      <c r="M1055"/>
      <c r="N1055"/>
      <c r="O1055"/>
      <c r="P1055"/>
    </row>
    <row r="1056" spans="1:16" ht="15" customHeight="1" x14ac:dyDescent="0.2">
      <c r="A1056"/>
      <c r="B1056"/>
      <c r="C1056"/>
      <c r="H1056"/>
      <c r="I1056"/>
      <c r="J1056"/>
      <c r="K1056"/>
      <c r="L1056"/>
      <c r="M1056"/>
      <c r="N1056"/>
      <c r="O1056"/>
      <c r="P1056"/>
    </row>
    <row r="1057" spans="1:16" ht="15" customHeight="1" x14ac:dyDescent="0.2">
      <c r="A1057"/>
      <c r="B1057"/>
      <c r="C1057"/>
      <c r="H1057"/>
      <c r="I1057"/>
      <c r="J1057"/>
      <c r="K1057"/>
      <c r="L1057"/>
      <c r="M1057"/>
      <c r="N1057"/>
      <c r="O1057"/>
      <c r="P1057"/>
    </row>
    <row r="1058" spans="1:16" ht="15" customHeight="1" x14ac:dyDescent="0.2">
      <c r="A1058"/>
      <c r="B1058"/>
      <c r="C1058"/>
      <c r="H1058"/>
      <c r="I1058"/>
      <c r="J1058"/>
      <c r="K1058"/>
      <c r="L1058"/>
      <c r="M1058"/>
      <c r="N1058"/>
      <c r="O1058"/>
      <c r="P1058"/>
    </row>
    <row r="1059" spans="1:16" ht="15" customHeight="1" x14ac:dyDescent="0.2">
      <c r="A1059"/>
      <c r="B1059"/>
      <c r="C1059"/>
      <c r="H1059"/>
      <c r="I1059"/>
      <c r="J1059"/>
      <c r="K1059"/>
      <c r="L1059"/>
      <c r="M1059"/>
      <c r="N1059"/>
      <c r="O1059"/>
      <c r="P1059"/>
    </row>
    <row r="1060" spans="1:16" ht="15" customHeight="1" x14ac:dyDescent="0.2">
      <c r="A1060"/>
      <c r="B1060"/>
      <c r="C1060"/>
      <c r="H1060"/>
      <c r="I1060"/>
      <c r="J1060"/>
      <c r="K1060"/>
      <c r="L1060"/>
      <c r="M1060"/>
      <c r="N1060"/>
      <c r="O1060"/>
      <c r="P1060"/>
    </row>
    <row r="1061" spans="1:16" ht="15" customHeight="1" x14ac:dyDescent="0.2">
      <c r="A1061"/>
      <c r="B1061"/>
      <c r="C1061"/>
      <c r="H1061"/>
      <c r="I1061"/>
      <c r="J1061"/>
      <c r="K1061"/>
      <c r="L1061"/>
      <c r="M1061"/>
      <c r="N1061"/>
      <c r="O1061"/>
      <c r="P1061"/>
    </row>
    <row r="1062" spans="1:16" ht="15" customHeight="1" x14ac:dyDescent="0.2">
      <c r="A1062"/>
      <c r="B1062"/>
      <c r="C1062"/>
      <c r="H1062"/>
      <c r="I1062"/>
      <c r="J1062"/>
      <c r="K1062"/>
      <c r="L1062"/>
      <c r="M1062"/>
      <c r="N1062"/>
      <c r="O1062"/>
      <c r="P1062"/>
    </row>
    <row r="1063" spans="1:16" ht="15" customHeight="1" x14ac:dyDescent="0.2">
      <c r="A1063"/>
      <c r="B1063"/>
      <c r="C1063"/>
      <c r="H1063"/>
      <c r="I1063"/>
      <c r="J1063"/>
      <c r="K1063"/>
      <c r="L1063"/>
      <c r="M1063"/>
      <c r="N1063"/>
      <c r="O1063"/>
      <c r="P1063"/>
    </row>
    <row r="1064" spans="1:16" ht="15" customHeight="1" x14ac:dyDescent="0.2">
      <c r="A1064"/>
      <c r="B1064"/>
      <c r="C1064"/>
      <c r="H1064"/>
      <c r="I1064"/>
      <c r="J1064"/>
      <c r="K1064"/>
      <c r="L1064"/>
      <c r="M1064"/>
      <c r="N1064"/>
      <c r="O1064"/>
      <c r="P1064"/>
    </row>
    <row r="1065" spans="1:16" ht="15" customHeight="1" x14ac:dyDescent="0.2">
      <c r="A1065"/>
      <c r="B1065"/>
      <c r="C1065"/>
      <c r="H1065"/>
      <c r="I1065"/>
      <c r="J1065"/>
      <c r="K1065"/>
      <c r="L1065"/>
      <c r="M1065"/>
      <c r="N1065"/>
      <c r="O1065"/>
      <c r="P1065"/>
    </row>
    <row r="1066" spans="1:16" ht="15" customHeight="1" x14ac:dyDescent="0.2">
      <c r="A1066"/>
      <c r="B1066"/>
      <c r="C1066"/>
      <c r="H1066"/>
      <c r="I1066"/>
      <c r="J1066"/>
      <c r="K1066"/>
      <c r="L1066"/>
      <c r="M1066"/>
      <c r="N1066"/>
      <c r="O1066"/>
      <c r="P1066"/>
    </row>
    <row r="1067" spans="1:16" ht="15" customHeight="1" x14ac:dyDescent="0.2">
      <c r="A1067"/>
      <c r="B1067"/>
      <c r="C1067"/>
      <c r="H1067"/>
      <c r="I1067"/>
      <c r="J1067"/>
      <c r="K1067"/>
      <c r="L1067"/>
      <c r="M1067"/>
      <c r="N1067"/>
      <c r="O1067"/>
      <c r="P1067"/>
    </row>
    <row r="1068" spans="1:16" ht="15" customHeight="1" x14ac:dyDescent="0.2">
      <c r="A1068"/>
      <c r="B1068"/>
      <c r="C1068"/>
      <c r="H1068"/>
      <c r="I1068"/>
      <c r="J1068"/>
      <c r="K1068"/>
      <c r="L1068"/>
      <c r="M1068"/>
      <c r="N1068"/>
      <c r="O1068"/>
      <c r="P1068"/>
    </row>
    <row r="1069" spans="1:16" ht="15" customHeight="1" x14ac:dyDescent="0.2">
      <c r="A1069"/>
      <c r="B1069"/>
      <c r="C1069"/>
      <c r="H1069"/>
      <c r="I1069"/>
      <c r="J1069"/>
      <c r="K1069"/>
      <c r="L1069"/>
      <c r="M1069"/>
      <c r="N1069"/>
      <c r="O1069"/>
      <c r="P1069"/>
    </row>
    <row r="1070" spans="1:16" ht="15" customHeight="1" x14ac:dyDescent="0.2">
      <c r="A1070"/>
      <c r="B1070"/>
      <c r="C1070"/>
      <c r="H1070"/>
      <c r="I1070"/>
      <c r="J1070"/>
      <c r="K1070"/>
      <c r="L1070"/>
      <c r="M1070"/>
      <c r="N1070"/>
      <c r="O1070"/>
      <c r="P1070"/>
    </row>
    <row r="1071" spans="1:16" ht="15" customHeight="1" x14ac:dyDescent="0.2">
      <c r="A1071"/>
      <c r="B1071"/>
      <c r="C1071"/>
      <c r="H1071"/>
      <c r="I1071"/>
      <c r="J1071"/>
      <c r="K1071"/>
      <c r="L1071"/>
      <c r="M1071"/>
      <c r="N1071"/>
      <c r="O1071"/>
      <c r="P1071"/>
    </row>
    <row r="1072" spans="1:16" ht="15" customHeight="1" x14ac:dyDescent="0.2">
      <c r="A1072"/>
      <c r="B1072"/>
      <c r="C1072"/>
      <c r="H1072"/>
      <c r="I1072"/>
      <c r="J1072"/>
      <c r="K1072"/>
      <c r="L1072"/>
      <c r="M1072"/>
      <c r="N1072"/>
      <c r="O1072"/>
      <c r="P1072"/>
    </row>
    <row r="1073" spans="1:16" ht="15" customHeight="1" x14ac:dyDescent="0.2">
      <c r="A1073"/>
      <c r="B1073"/>
      <c r="C1073"/>
      <c r="H1073"/>
      <c r="I1073"/>
      <c r="J1073"/>
      <c r="K1073"/>
      <c r="L1073"/>
      <c r="M1073"/>
      <c r="N1073"/>
      <c r="O1073"/>
      <c r="P1073"/>
    </row>
    <row r="1074" spans="1:16" ht="15" customHeight="1" x14ac:dyDescent="0.2">
      <c r="A1074"/>
      <c r="B1074"/>
      <c r="C1074"/>
      <c r="H1074"/>
      <c r="I1074"/>
      <c r="J1074"/>
      <c r="K1074"/>
      <c r="L1074"/>
      <c r="M1074"/>
      <c r="N1074"/>
      <c r="O1074"/>
      <c r="P1074"/>
    </row>
    <row r="1075" spans="1:16" ht="15" customHeight="1" x14ac:dyDescent="0.2">
      <c r="A1075"/>
      <c r="B1075"/>
      <c r="C1075"/>
      <c r="H1075"/>
      <c r="I1075"/>
      <c r="J1075"/>
      <c r="K1075"/>
      <c r="L1075"/>
      <c r="M1075"/>
      <c r="N1075"/>
      <c r="O1075"/>
      <c r="P1075"/>
    </row>
    <row r="1076" spans="1:16" ht="15" customHeight="1" x14ac:dyDescent="0.2">
      <c r="A1076"/>
      <c r="B1076"/>
      <c r="C1076"/>
      <c r="H1076"/>
      <c r="I1076"/>
      <c r="J1076"/>
      <c r="K1076"/>
      <c r="L1076"/>
      <c r="M1076"/>
      <c r="N1076"/>
      <c r="O1076"/>
      <c r="P1076"/>
    </row>
    <row r="1077" spans="1:16" ht="15" customHeight="1" x14ac:dyDescent="0.2">
      <c r="A1077"/>
      <c r="B1077"/>
      <c r="C1077"/>
      <c r="H1077"/>
      <c r="I1077"/>
      <c r="J1077"/>
      <c r="K1077"/>
      <c r="L1077"/>
      <c r="M1077"/>
      <c r="N1077"/>
      <c r="O1077"/>
      <c r="P1077"/>
    </row>
    <row r="1078" spans="1:16" ht="15" customHeight="1" x14ac:dyDescent="0.2">
      <c r="A1078"/>
      <c r="B1078"/>
      <c r="C1078"/>
      <c r="H1078"/>
      <c r="I1078"/>
      <c r="J1078"/>
      <c r="K1078"/>
      <c r="L1078"/>
      <c r="M1078"/>
      <c r="N1078"/>
      <c r="O1078"/>
      <c r="P1078"/>
    </row>
    <row r="1079" spans="1:16" ht="15" customHeight="1" x14ac:dyDescent="0.2">
      <c r="A1079"/>
      <c r="B1079"/>
      <c r="C1079"/>
      <c r="H1079"/>
      <c r="I1079"/>
      <c r="J1079"/>
      <c r="K1079"/>
      <c r="L1079"/>
      <c r="M1079"/>
      <c r="N1079"/>
      <c r="O1079"/>
      <c r="P1079"/>
    </row>
    <row r="1080" spans="1:16" ht="15" customHeight="1" x14ac:dyDescent="0.2">
      <c r="A1080"/>
      <c r="B1080"/>
      <c r="C1080"/>
      <c r="H1080"/>
      <c r="I1080"/>
      <c r="J1080"/>
      <c r="K1080"/>
      <c r="L1080"/>
      <c r="M1080"/>
      <c r="N1080"/>
      <c r="O1080"/>
      <c r="P1080"/>
    </row>
    <row r="1081" spans="1:16" ht="15" customHeight="1" x14ac:dyDescent="0.2">
      <c r="A1081"/>
      <c r="B1081"/>
      <c r="C1081"/>
      <c r="H1081"/>
      <c r="I1081"/>
      <c r="J1081"/>
      <c r="K1081"/>
      <c r="L1081"/>
      <c r="M1081"/>
      <c r="N1081"/>
      <c r="O1081"/>
      <c r="P1081"/>
    </row>
    <row r="1082" spans="1:16" ht="15" customHeight="1" x14ac:dyDescent="0.2">
      <c r="A1082"/>
      <c r="B1082"/>
      <c r="C1082"/>
      <c r="H1082"/>
      <c r="I1082"/>
      <c r="J1082"/>
      <c r="K1082"/>
      <c r="L1082"/>
      <c r="M1082"/>
      <c r="N1082"/>
      <c r="O1082"/>
      <c r="P1082"/>
    </row>
    <row r="1083" spans="1:16" ht="15" customHeight="1" x14ac:dyDescent="0.2">
      <c r="A1083"/>
      <c r="B1083"/>
      <c r="C1083"/>
      <c r="H1083"/>
      <c r="I1083"/>
      <c r="J1083"/>
      <c r="K1083"/>
      <c r="L1083"/>
      <c r="M1083"/>
      <c r="N1083"/>
      <c r="O1083"/>
      <c r="P1083"/>
    </row>
    <row r="1084" spans="1:16" ht="15" customHeight="1" x14ac:dyDescent="0.2">
      <c r="A1084"/>
      <c r="B1084"/>
      <c r="C1084"/>
      <c r="H1084"/>
      <c r="I1084"/>
      <c r="J1084"/>
      <c r="K1084"/>
      <c r="L1084"/>
      <c r="M1084"/>
      <c r="N1084"/>
      <c r="O1084"/>
      <c r="P1084"/>
    </row>
    <row r="1085" spans="1:16" ht="15" customHeight="1" x14ac:dyDescent="0.2">
      <c r="A1085"/>
      <c r="B1085"/>
      <c r="C1085"/>
      <c r="H1085"/>
      <c r="I1085"/>
      <c r="J1085"/>
      <c r="K1085"/>
      <c r="L1085"/>
      <c r="M1085"/>
      <c r="N1085"/>
      <c r="O1085"/>
      <c r="P1085"/>
    </row>
    <row r="1086" spans="1:16" ht="15" customHeight="1" x14ac:dyDescent="0.2">
      <c r="A1086"/>
      <c r="B1086"/>
      <c r="C1086"/>
      <c r="H1086"/>
      <c r="I1086"/>
      <c r="J1086"/>
      <c r="K1086"/>
      <c r="L1086"/>
      <c r="M1086"/>
      <c r="N1086"/>
      <c r="O1086"/>
      <c r="P1086"/>
    </row>
    <row r="1087" spans="1:16" ht="15" customHeight="1" x14ac:dyDescent="0.2">
      <c r="A1087"/>
      <c r="B1087"/>
      <c r="C1087"/>
      <c r="H1087"/>
      <c r="I1087"/>
      <c r="J1087"/>
      <c r="K1087"/>
      <c r="L1087"/>
      <c r="M1087"/>
      <c r="N1087"/>
      <c r="O1087"/>
      <c r="P1087"/>
    </row>
    <row r="1088" spans="1:16" ht="15" customHeight="1" x14ac:dyDescent="0.2">
      <c r="A1088"/>
      <c r="B1088"/>
      <c r="C1088"/>
      <c r="H1088"/>
      <c r="I1088"/>
      <c r="J1088"/>
      <c r="K1088"/>
      <c r="L1088"/>
      <c r="M1088"/>
      <c r="N1088"/>
      <c r="O1088"/>
      <c r="P1088"/>
    </row>
    <row r="1089" spans="1:16" ht="15" customHeight="1" x14ac:dyDescent="0.2">
      <c r="A1089"/>
      <c r="B1089"/>
      <c r="C1089"/>
      <c r="H1089"/>
      <c r="I1089"/>
      <c r="J1089"/>
      <c r="K1089"/>
      <c r="L1089"/>
      <c r="M1089"/>
      <c r="N1089"/>
      <c r="O1089"/>
      <c r="P1089"/>
    </row>
    <row r="1090" spans="1:16" ht="15" customHeight="1" x14ac:dyDescent="0.2">
      <c r="A1090"/>
      <c r="B1090"/>
      <c r="C1090"/>
      <c r="H1090"/>
      <c r="I1090"/>
      <c r="J1090"/>
      <c r="K1090"/>
      <c r="L1090"/>
      <c r="M1090"/>
      <c r="N1090"/>
      <c r="O1090"/>
      <c r="P1090"/>
    </row>
    <row r="1091" spans="1:16" ht="15" customHeight="1" x14ac:dyDescent="0.2">
      <c r="A1091"/>
      <c r="B1091"/>
      <c r="C1091"/>
      <c r="H1091"/>
      <c r="I1091"/>
      <c r="J1091"/>
      <c r="K1091"/>
      <c r="L1091"/>
      <c r="M1091"/>
      <c r="N1091"/>
      <c r="O1091"/>
      <c r="P1091"/>
    </row>
    <row r="1092" spans="1:16" ht="15" customHeight="1" x14ac:dyDescent="0.2">
      <c r="A1092"/>
      <c r="B1092"/>
      <c r="C1092"/>
      <c r="H1092"/>
      <c r="I1092"/>
      <c r="J1092"/>
      <c r="K1092"/>
      <c r="L1092"/>
      <c r="M1092"/>
      <c r="N1092"/>
      <c r="O1092"/>
      <c r="P1092"/>
    </row>
    <row r="1093" spans="1:16" ht="15" customHeight="1" x14ac:dyDescent="0.2">
      <c r="A1093"/>
      <c r="B1093"/>
      <c r="C1093"/>
      <c r="H1093"/>
      <c r="I1093"/>
      <c r="J1093"/>
      <c r="K1093"/>
      <c r="L1093"/>
      <c r="M1093"/>
      <c r="N1093"/>
      <c r="O1093"/>
      <c r="P1093"/>
    </row>
    <row r="1094" spans="1:16" ht="15" customHeight="1" x14ac:dyDescent="0.2">
      <c r="A1094"/>
      <c r="B1094"/>
      <c r="C1094"/>
      <c r="H1094"/>
      <c r="I1094"/>
      <c r="J1094"/>
      <c r="K1094"/>
      <c r="L1094"/>
      <c r="M1094"/>
      <c r="N1094"/>
      <c r="O1094"/>
      <c r="P1094"/>
    </row>
    <row r="1095" spans="1:16" x14ac:dyDescent="0.2">
      <c r="A1095"/>
      <c r="B1095"/>
      <c r="C1095"/>
      <c r="H1095"/>
      <c r="I1095"/>
      <c r="J1095"/>
      <c r="K1095"/>
      <c r="L1095"/>
      <c r="M1095"/>
      <c r="N1095"/>
      <c r="O1095"/>
      <c r="P1095"/>
    </row>
    <row r="1096" spans="1:16" ht="13.5" customHeight="1" x14ac:dyDescent="0.2">
      <c r="A1096"/>
      <c r="B1096"/>
      <c r="C1096"/>
      <c r="H1096"/>
      <c r="I1096"/>
      <c r="J1096"/>
      <c r="K1096"/>
      <c r="L1096"/>
      <c r="M1096"/>
      <c r="N1096"/>
      <c r="O1096"/>
      <c r="P1096"/>
    </row>
    <row r="1097" spans="1:16" ht="40.5" customHeight="1" x14ac:dyDescent="0.2">
      <c r="A1097"/>
      <c r="B1097"/>
      <c r="C1097"/>
      <c r="H1097"/>
      <c r="I1097"/>
      <c r="J1097"/>
      <c r="K1097"/>
      <c r="L1097"/>
      <c r="M1097"/>
      <c r="N1097"/>
      <c r="O1097"/>
      <c r="P1097"/>
    </row>
    <row r="1098" spans="1:16" ht="21" customHeight="1" x14ac:dyDescent="0.2">
      <c r="A1098"/>
      <c r="B1098"/>
      <c r="C1098"/>
      <c r="H1098"/>
      <c r="I1098"/>
      <c r="J1098"/>
      <c r="K1098"/>
      <c r="L1098"/>
      <c r="M1098"/>
      <c r="N1098"/>
      <c r="O1098"/>
      <c r="P1098"/>
    </row>
    <row r="1099" spans="1:16" x14ac:dyDescent="0.2">
      <c r="A1099"/>
      <c r="B1099"/>
      <c r="C1099"/>
      <c r="H1099"/>
      <c r="I1099"/>
      <c r="J1099"/>
      <c r="K1099"/>
      <c r="L1099"/>
      <c r="M1099"/>
      <c r="N1099"/>
      <c r="O1099"/>
      <c r="P1099"/>
    </row>
    <row r="1100" spans="1:16" x14ac:dyDescent="0.2">
      <c r="A1100"/>
      <c r="B1100"/>
      <c r="C1100"/>
      <c r="H1100"/>
      <c r="I1100"/>
      <c r="J1100"/>
      <c r="K1100"/>
      <c r="L1100"/>
      <c r="M1100"/>
      <c r="N1100"/>
      <c r="O1100"/>
      <c r="P1100"/>
    </row>
    <row r="1101" spans="1:16" ht="12" customHeight="1" x14ac:dyDescent="0.2">
      <c r="A1101"/>
      <c r="B1101"/>
      <c r="C1101"/>
      <c r="H1101"/>
      <c r="I1101"/>
      <c r="J1101"/>
      <c r="K1101"/>
      <c r="L1101"/>
      <c r="M1101"/>
      <c r="N1101"/>
      <c r="O1101"/>
      <c r="P1101"/>
    </row>
    <row r="1102" spans="1:16" ht="12" customHeight="1" x14ac:dyDescent="0.2">
      <c r="A1102"/>
      <c r="B1102"/>
      <c r="C1102"/>
      <c r="H1102"/>
      <c r="I1102"/>
      <c r="J1102"/>
      <c r="K1102"/>
      <c r="L1102"/>
      <c r="M1102"/>
      <c r="N1102"/>
      <c r="O1102"/>
      <c r="P1102"/>
    </row>
    <row r="1103" spans="1:16" ht="12" customHeight="1" x14ac:dyDescent="0.2">
      <c r="A1103"/>
      <c r="B1103"/>
      <c r="C1103"/>
      <c r="H1103"/>
      <c r="I1103"/>
      <c r="J1103"/>
      <c r="K1103"/>
      <c r="L1103"/>
      <c r="M1103"/>
      <c r="N1103"/>
      <c r="O1103"/>
      <c r="P1103"/>
    </row>
    <row r="1104" spans="1:16" ht="12" customHeight="1" x14ac:dyDescent="0.2">
      <c r="A1104"/>
      <c r="B1104"/>
      <c r="C1104"/>
      <c r="H1104"/>
      <c r="I1104"/>
      <c r="J1104"/>
      <c r="K1104"/>
      <c r="L1104"/>
      <c r="M1104"/>
      <c r="N1104"/>
      <c r="O1104"/>
      <c r="P1104"/>
    </row>
    <row r="1105" spans="1:16" ht="23.25" customHeight="1" x14ac:dyDescent="0.2">
      <c r="A1105"/>
      <c r="B1105"/>
      <c r="C1105"/>
      <c r="H1105"/>
      <c r="I1105"/>
      <c r="J1105"/>
      <c r="K1105"/>
      <c r="L1105"/>
      <c r="M1105"/>
      <c r="N1105"/>
      <c r="O1105"/>
      <c r="P1105"/>
    </row>
    <row r="1106" spans="1:16" x14ac:dyDescent="0.2">
      <c r="A1106"/>
      <c r="B1106"/>
      <c r="C1106"/>
      <c r="H1106"/>
      <c r="I1106"/>
      <c r="J1106"/>
      <c r="K1106"/>
      <c r="L1106"/>
      <c r="M1106"/>
      <c r="N1106"/>
      <c r="O1106"/>
      <c r="P1106"/>
    </row>
    <row r="1107" spans="1:16" x14ac:dyDescent="0.2">
      <c r="A1107"/>
      <c r="B1107"/>
      <c r="C1107"/>
      <c r="H1107"/>
      <c r="I1107"/>
      <c r="J1107"/>
      <c r="K1107"/>
      <c r="L1107"/>
      <c r="M1107"/>
      <c r="N1107"/>
      <c r="O1107"/>
      <c r="P1107"/>
    </row>
    <row r="1108" spans="1:16" ht="12" customHeight="1" x14ac:dyDescent="0.2">
      <c r="A1108"/>
      <c r="B1108"/>
      <c r="C1108"/>
      <c r="H1108"/>
      <c r="I1108"/>
      <c r="J1108"/>
      <c r="K1108"/>
      <c r="L1108"/>
      <c r="M1108"/>
      <c r="N1108"/>
      <c r="O1108"/>
      <c r="P1108"/>
    </row>
    <row r="1109" spans="1:16" ht="12" customHeight="1" x14ac:dyDescent="0.2">
      <c r="A1109"/>
      <c r="B1109"/>
      <c r="C1109"/>
      <c r="H1109"/>
      <c r="I1109"/>
      <c r="J1109"/>
      <c r="K1109"/>
      <c r="L1109"/>
      <c r="M1109"/>
      <c r="N1109"/>
      <c r="O1109"/>
      <c r="P1109"/>
    </row>
    <row r="1110" spans="1:16" ht="12" customHeight="1" x14ac:dyDescent="0.2">
      <c r="A1110"/>
      <c r="B1110"/>
      <c r="C1110"/>
      <c r="H1110"/>
      <c r="I1110"/>
      <c r="J1110"/>
      <c r="K1110"/>
      <c r="L1110"/>
      <c r="M1110"/>
      <c r="N1110"/>
      <c r="O1110"/>
      <c r="P1110"/>
    </row>
    <row r="1111" spans="1:16" ht="12" customHeight="1" x14ac:dyDescent="0.2">
      <c r="A1111"/>
      <c r="B1111"/>
      <c r="C1111"/>
      <c r="H1111"/>
      <c r="I1111"/>
      <c r="J1111"/>
      <c r="K1111"/>
      <c r="L1111"/>
      <c r="M1111"/>
      <c r="N1111"/>
      <c r="O1111"/>
      <c r="P1111"/>
    </row>
    <row r="1112" spans="1:16" ht="12" customHeight="1" x14ac:dyDescent="0.2">
      <c r="A1112"/>
      <c r="B1112"/>
      <c r="C1112"/>
      <c r="H1112"/>
      <c r="I1112"/>
      <c r="J1112"/>
      <c r="K1112"/>
      <c r="L1112"/>
      <c r="M1112"/>
      <c r="N1112"/>
      <c r="O1112"/>
      <c r="P1112"/>
    </row>
    <row r="1113" spans="1:16" ht="12" customHeight="1" x14ac:dyDescent="0.2">
      <c r="A1113"/>
      <c r="B1113"/>
      <c r="C1113"/>
      <c r="H1113"/>
      <c r="I1113"/>
      <c r="J1113"/>
      <c r="K1113"/>
      <c r="L1113"/>
      <c r="M1113"/>
      <c r="N1113"/>
      <c r="O1113"/>
      <c r="P1113"/>
    </row>
    <row r="1114" spans="1:16" ht="12" customHeight="1" x14ac:dyDescent="0.2">
      <c r="A1114"/>
      <c r="B1114"/>
      <c r="C1114"/>
      <c r="H1114"/>
      <c r="I1114"/>
      <c r="J1114"/>
      <c r="K1114"/>
      <c r="L1114"/>
      <c r="M1114"/>
      <c r="N1114"/>
      <c r="O1114"/>
      <c r="P1114"/>
    </row>
    <row r="1115" spans="1:16" ht="12" customHeight="1" x14ac:dyDescent="0.2">
      <c r="A1115"/>
      <c r="B1115"/>
      <c r="C1115"/>
      <c r="H1115"/>
      <c r="I1115"/>
      <c r="J1115"/>
      <c r="K1115"/>
      <c r="L1115"/>
      <c r="M1115"/>
      <c r="N1115"/>
      <c r="O1115"/>
      <c r="P1115"/>
    </row>
    <row r="1116" spans="1:16" ht="12" customHeight="1" x14ac:dyDescent="0.2">
      <c r="A1116"/>
      <c r="B1116"/>
      <c r="C1116"/>
      <c r="H1116"/>
      <c r="I1116"/>
      <c r="J1116"/>
      <c r="K1116"/>
      <c r="L1116"/>
      <c r="M1116"/>
      <c r="N1116"/>
      <c r="O1116"/>
      <c r="P1116"/>
    </row>
    <row r="1117" spans="1:16" ht="12" customHeight="1" x14ac:dyDescent="0.2">
      <c r="A1117"/>
      <c r="B1117"/>
      <c r="C1117"/>
      <c r="H1117"/>
      <c r="I1117"/>
      <c r="J1117"/>
      <c r="K1117"/>
      <c r="L1117"/>
      <c r="M1117"/>
      <c r="N1117"/>
      <c r="O1117"/>
      <c r="P1117"/>
    </row>
    <row r="1118" spans="1:16" ht="12" customHeight="1" x14ac:dyDescent="0.2">
      <c r="A1118"/>
      <c r="B1118"/>
      <c r="C1118"/>
      <c r="H1118"/>
      <c r="I1118"/>
      <c r="J1118"/>
      <c r="K1118"/>
      <c r="L1118"/>
      <c r="M1118"/>
      <c r="N1118"/>
      <c r="O1118"/>
      <c r="P1118"/>
    </row>
    <row r="1119" spans="1:16" ht="12" customHeight="1" x14ac:dyDescent="0.2">
      <c r="A1119"/>
      <c r="B1119"/>
      <c r="C1119"/>
      <c r="H1119"/>
      <c r="I1119"/>
      <c r="J1119"/>
      <c r="K1119"/>
      <c r="L1119"/>
      <c r="M1119"/>
      <c r="N1119"/>
      <c r="O1119"/>
      <c r="P1119"/>
    </row>
    <row r="1120" spans="1:16" ht="12" customHeight="1" x14ac:dyDescent="0.2">
      <c r="A1120"/>
      <c r="B1120"/>
      <c r="C1120"/>
      <c r="H1120"/>
      <c r="I1120"/>
      <c r="J1120"/>
      <c r="K1120"/>
      <c r="L1120"/>
      <c r="M1120"/>
      <c r="N1120"/>
      <c r="O1120"/>
      <c r="P1120"/>
    </row>
    <row r="1121" spans="1:16" ht="12" customHeight="1" x14ac:dyDescent="0.2">
      <c r="A1121"/>
      <c r="B1121"/>
      <c r="C1121"/>
      <c r="H1121"/>
      <c r="I1121"/>
      <c r="J1121"/>
      <c r="K1121"/>
      <c r="L1121"/>
      <c r="M1121"/>
      <c r="N1121"/>
      <c r="O1121"/>
      <c r="P1121"/>
    </row>
    <row r="1122" spans="1:16" x14ac:dyDescent="0.2">
      <c r="A1122"/>
      <c r="B1122"/>
      <c r="C1122"/>
      <c r="H1122"/>
      <c r="I1122"/>
      <c r="J1122"/>
      <c r="K1122"/>
      <c r="L1122"/>
      <c r="M1122"/>
      <c r="N1122"/>
      <c r="O1122"/>
      <c r="P1122"/>
    </row>
    <row r="1123" spans="1:16" x14ac:dyDescent="0.2">
      <c r="A1123"/>
      <c r="B1123"/>
      <c r="C1123"/>
      <c r="H1123"/>
      <c r="I1123"/>
      <c r="J1123"/>
      <c r="K1123"/>
      <c r="L1123"/>
      <c r="M1123"/>
      <c r="N1123"/>
      <c r="O1123"/>
      <c r="P1123"/>
    </row>
    <row r="1124" spans="1:16" x14ac:dyDescent="0.2">
      <c r="A1124"/>
      <c r="B1124"/>
      <c r="C1124"/>
      <c r="H1124"/>
      <c r="I1124"/>
      <c r="J1124"/>
      <c r="K1124"/>
      <c r="L1124"/>
      <c r="M1124"/>
      <c r="N1124"/>
      <c r="O1124"/>
      <c r="P1124"/>
    </row>
    <row r="1125" spans="1:16" ht="12" customHeight="1" x14ac:dyDescent="0.2">
      <c r="A1125"/>
      <c r="B1125"/>
      <c r="C1125"/>
      <c r="H1125"/>
      <c r="I1125"/>
      <c r="J1125"/>
      <c r="K1125"/>
      <c r="L1125"/>
      <c r="M1125"/>
      <c r="N1125"/>
      <c r="O1125"/>
      <c r="P1125"/>
    </row>
    <row r="1126" spans="1:16" ht="12" customHeight="1" x14ac:dyDescent="0.2">
      <c r="A1126"/>
      <c r="B1126"/>
      <c r="C1126"/>
      <c r="H1126"/>
      <c r="I1126"/>
      <c r="J1126"/>
      <c r="K1126"/>
      <c r="L1126"/>
      <c r="M1126"/>
      <c r="N1126"/>
      <c r="O1126"/>
      <c r="P1126"/>
    </row>
    <row r="1127" spans="1:16" ht="12" customHeight="1" x14ac:dyDescent="0.2">
      <c r="A1127"/>
      <c r="B1127"/>
      <c r="C1127"/>
      <c r="H1127"/>
      <c r="I1127"/>
      <c r="J1127"/>
      <c r="K1127"/>
      <c r="L1127"/>
      <c r="M1127"/>
      <c r="N1127"/>
      <c r="O1127"/>
      <c r="P1127"/>
    </row>
    <row r="1128" spans="1:16" ht="12" customHeight="1" x14ac:dyDescent="0.2">
      <c r="A1128"/>
      <c r="B1128"/>
      <c r="C1128"/>
      <c r="H1128"/>
      <c r="I1128"/>
      <c r="J1128"/>
      <c r="K1128"/>
      <c r="L1128"/>
      <c r="M1128"/>
      <c r="N1128"/>
      <c r="O1128"/>
      <c r="P1128"/>
    </row>
    <row r="1129" spans="1:16" ht="12" customHeight="1" x14ac:dyDescent="0.2">
      <c r="A1129"/>
      <c r="B1129"/>
      <c r="C1129"/>
      <c r="H1129"/>
      <c r="I1129"/>
      <c r="J1129"/>
      <c r="K1129"/>
      <c r="L1129"/>
      <c r="M1129"/>
      <c r="N1129"/>
      <c r="O1129"/>
      <c r="P1129"/>
    </row>
    <row r="1130" spans="1:16" ht="12" customHeight="1" x14ac:dyDescent="0.2">
      <c r="A1130"/>
      <c r="B1130"/>
      <c r="C1130"/>
      <c r="H1130"/>
      <c r="I1130"/>
      <c r="J1130"/>
      <c r="K1130"/>
      <c r="L1130"/>
      <c r="M1130"/>
      <c r="N1130"/>
      <c r="O1130"/>
      <c r="P1130"/>
    </row>
    <row r="1131" spans="1:16" ht="12" customHeight="1" x14ac:dyDescent="0.2">
      <c r="A1131"/>
      <c r="B1131"/>
      <c r="C1131"/>
      <c r="H1131"/>
      <c r="I1131"/>
      <c r="J1131"/>
      <c r="K1131"/>
      <c r="L1131"/>
      <c r="M1131"/>
      <c r="N1131"/>
      <c r="O1131"/>
      <c r="P1131"/>
    </row>
    <row r="1132" spans="1:16" ht="12" customHeight="1" x14ac:dyDescent="0.2">
      <c r="A1132"/>
      <c r="B1132"/>
      <c r="C1132"/>
      <c r="H1132"/>
      <c r="I1132"/>
      <c r="J1132"/>
      <c r="K1132"/>
      <c r="L1132"/>
      <c r="M1132"/>
      <c r="N1132"/>
      <c r="O1132"/>
      <c r="P1132"/>
    </row>
    <row r="1133" spans="1:16" ht="12" customHeight="1" x14ac:dyDescent="0.2">
      <c r="A1133"/>
      <c r="B1133"/>
      <c r="C1133"/>
      <c r="H1133"/>
      <c r="I1133"/>
      <c r="J1133"/>
      <c r="K1133"/>
      <c r="L1133"/>
      <c r="M1133"/>
      <c r="N1133"/>
      <c r="O1133"/>
      <c r="P1133"/>
    </row>
    <row r="1134" spans="1:16" ht="12" customHeight="1" x14ac:dyDescent="0.2">
      <c r="A1134"/>
      <c r="B1134"/>
      <c r="C1134"/>
      <c r="H1134"/>
      <c r="I1134"/>
      <c r="J1134"/>
      <c r="K1134"/>
      <c r="L1134"/>
      <c r="M1134"/>
      <c r="N1134"/>
      <c r="O1134"/>
      <c r="P1134"/>
    </row>
    <row r="1135" spans="1:16" ht="15" customHeight="1" x14ac:dyDescent="0.2">
      <c r="A1135"/>
      <c r="B1135"/>
      <c r="C1135"/>
      <c r="H1135"/>
      <c r="I1135"/>
      <c r="J1135"/>
      <c r="K1135"/>
      <c r="L1135"/>
      <c r="M1135"/>
      <c r="N1135"/>
      <c r="O1135"/>
      <c r="P1135"/>
    </row>
    <row r="1136" spans="1:16" ht="15" customHeight="1" x14ac:dyDescent="0.2">
      <c r="A1136"/>
      <c r="B1136"/>
      <c r="C1136"/>
      <c r="H1136"/>
      <c r="I1136"/>
      <c r="J1136"/>
      <c r="K1136"/>
      <c r="L1136"/>
      <c r="M1136"/>
      <c r="N1136"/>
      <c r="O1136"/>
      <c r="P1136"/>
    </row>
    <row r="1137" spans="1:16" ht="15" customHeight="1" x14ac:dyDescent="0.2">
      <c r="A1137"/>
      <c r="B1137"/>
      <c r="C1137"/>
      <c r="H1137"/>
      <c r="I1137"/>
      <c r="J1137"/>
      <c r="K1137"/>
      <c r="L1137"/>
      <c r="M1137"/>
      <c r="N1137"/>
      <c r="O1137"/>
      <c r="P1137"/>
    </row>
    <row r="1138" spans="1:16" ht="15" customHeight="1" x14ac:dyDescent="0.2">
      <c r="A1138"/>
      <c r="B1138"/>
      <c r="C1138"/>
      <c r="H1138"/>
      <c r="I1138"/>
      <c r="J1138"/>
      <c r="K1138"/>
      <c r="L1138"/>
      <c r="M1138"/>
      <c r="N1138"/>
      <c r="O1138"/>
      <c r="P1138"/>
    </row>
    <row r="1139" spans="1:16" ht="15" customHeight="1" x14ac:dyDescent="0.2">
      <c r="A1139"/>
      <c r="B1139"/>
      <c r="C1139"/>
      <c r="H1139"/>
      <c r="I1139"/>
      <c r="J1139"/>
      <c r="K1139"/>
      <c r="L1139"/>
      <c r="M1139"/>
      <c r="N1139"/>
      <c r="O1139"/>
      <c r="P1139"/>
    </row>
    <row r="1140" spans="1:16" ht="15" customHeight="1" x14ac:dyDescent="0.2">
      <c r="A1140"/>
      <c r="B1140"/>
      <c r="C1140"/>
      <c r="H1140"/>
      <c r="I1140"/>
      <c r="J1140"/>
      <c r="K1140"/>
      <c r="L1140"/>
      <c r="M1140"/>
      <c r="N1140"/>
      <c r="O1140"/>
      <c r="P1140"/>
    </row>
    <row r="1141" spans="1:16" ht="15" customHeight="1" x14ac:dyDescent="0.2">
      <c r="A1141"/>
      <c r="B1141"/>
      <c r="C1141"/>
      <c r="H1141"/>
      <c r="I1141"/>
      <c r="J1141"/>
      <c r="K1141"/>
      <c r="L1141"/>
      <c r="M1141"/>
      <c r="N1141"/>
      <c r="O1141"/>
      <c r="P1141"/>
    </row>
    <row r="1142" spans="1:16" ht="15" customHeight="1" x14ac:dyDescent="0.2">
      <c r="A1142"/>
      <c r="B1142"/>
      <c r="C1142"/>
      <c r="H1142"/>
      <c r="I1142"/>
      <c r="J1142"/>
      <c r="K1142"/>
      <c r="L1142"/>
      <c r="M1142"/>
      <c r="N1142"/>
      <c r="O1142"/>
      <c r="P1142"/>
    </row>
    <row r="1143" spans="1:16" ht="15" customHeight="1" x14ac:dyDescent="0.2">
      <c r="A1143"/>
      <c r="B1143"/>
      <c r="C1143"/>
      <c r="H1143"/>
      <c r="I1143"/>
      <c r="J1143"/>
      <c r="K1143"/>
      <c r="L1143"/>
      <c r="M1143"/>
      <c r="N1143"/>
      <c r="O1143"/>
      <c r="P1143"/>
    </row>
    <row r="1144" spans="1:16" ht="15" customHeight="1" x14ac:dyDescent="0.2">
      <c r="A1144"/>
      <c r="B1144"/>
      <c r="C1144"/>
      <c r="H1144"/>
      <c r="I1144"/>
      <c r="J1144"/>
      <c r="K1144"/>
      <c r="L1144"/>
      <c r="M1144"/>
      <c r="N1144"/>
      <c r="O1144"/>
      <c r="P1144"/>
    </row>
    <row r="1145" spans="1:16" ht="15" customHeight="1" x14ac:dyDescent="0.2">
      <c r="A1145"/>
      <c r="B1145"/>
      <c r="C1145"/>
      <c r="H1145"/>
      <c r="I1145"/>
      <c r="J1145"/>
      <c r="K1145"/>
      <c r="L1145"/>
      <c r="M1145"/>
      <c r="N1145"/>
      <c r="O1145"/>
      <c r="P1145"/>
    </row>
    <row r="1146" spans="1:16" ht="15" customHeight="1" x14ac:dyDescent="0.2">
      <c r="A1146"/>
      <c r="B1146"/>
      <c r="C1146"/>
      <c r="H1146"/>
      <c r="I1146"/>
      <c r="J1146"/>
      <c r="K1146"/>
      <c r="L1146"/>
      <c r="M1146"/>
      <c r="N1146"/>
      <c r="O1146"/>
      <c r="P1146"/>
    </row>
    <row r="1147" spans="1:16" ht="15" customHeight="1" x14ac:dyDescent="0.2">
      <c r="A1147"/>
      <c r="B1147"/>
      <c r="C1147"/>
      <c r="H1147"/>
      <c r="I1147"/>
      <c r="J1147"/>
      <c r="K1147"/>
      <c r="L1147"/>
      <c r="M1147"/>
      <c r="N1147"/>
      <c r="O1147"/>
      <c r="P1147"/>
    </row>
    <row r="1148" spans="1:16" ht="15" customHeight="1" x14ac:dyDescent="0.2">
      <c r="A1148"/>
      <c r="B1148"/>
      <c r="C1148"/>
      <c r="H1148"/>
      <c r="I1148"/>
      <c r="J1148"/>
      <c r="K1148"/>
      <c r="L1148"/>
      <c r="M1148"/>
      <c r="N1148"/>
      <c r="O1148"/>
      <c r="P1148"/>
    </row>
    <row r="1149" spans="1:16" ht="15" customHeight="1" x14ac:dyDescent="0.2">
      <c r="A1149"/>
      <c r="B1149"/>
      <c r="C1149"/>
      <c r="H1149"/>
      <c r="I1149"/>
      <c r="J1149"/>
      <c r="K1149"/>
      <c r="L1149"/>
      <c r="M1149"/>
      <c r="N1149"/>
      <c r="O1149"/>
      <c r="P1149"/>
    </row>
    <row r="1150" spans="1:16" ht="15" customHeight="1" x14ac:dyDescent="0.2">
      <c r="A1150"/>
      <c r="B1150"/>
      <c r="C1150"/>
      <c r="H1150"/>
      <c r="I1150"/>
      <c r="J1150"/>
      <c r="K1150"/>
      <c r="L1150"/>
      <c r="M1150"/>
      <c r="N1150"/>
      <c r="O1150"/>
      <c r="P1150"/>
    </row>
    <row r="1151" spans="1:16" ht="15" customHeight="1" x14ac:dyDescent="0.2">
      <c r="A1151"/>
      <c r="B1151"/>
      <c r="C1151"/>
      <c r="H1151"/>
      <c r="I1151"/>
      <c r="J1151"/>
      <c r="K1151"/>
      <c r="L1151"/>
      <c r="M1151"/>
      <c r="N1151"/>
      <c r="O1151"/>
      <c r="P1151"/>
    </row>
    <row r="1152" spans="1:16" ht="15" customHeight="1" x14ac:dyDescent="0.2">
      <c r="A1152"/>
      <c r="B1152"/>
      <c r="C1152"/>
      <c r="H1152"/>
      <c r="I1152"/>
      <c r="J1152"/>
      <c r="K1152"/>
      <c r="L1152"/>
      <c r="M1152"/>
      <c r="N1152"/>
      <c r="O1152"/>
      <c r="P1152"/>
    </row>
    <row r="1153" spans="1:16" ht="15" customHeight="1" x14ac:dyDescent="0.2">
      <c r="A1153"/>
      <c r="B1153"/>
      <c r="C1153"/>
      <c r="H1153"/>
      <c r="I1153"/>
      <c r="J1153"/>
      <c r="K1153"/>
      <c r="L1153"/>
      <c r="M1153"/>
      <c r="N1153"/>
      <c r="O1153"/>
      <c r="P1153"/>
    </row>
    <row r="1154" spans="1:16" ht="15" customHeight="1" x14ac:dyDescent="0.2">
      <c r="A1154"/>
      <c r="B1154"/>
      <c r="C1154"/>
      <c r="H1154"/>
      <c r="I1154"/>
      <c r="J1154"/>
      <c r="K1154"/>
      <c r="L1154"/>
      <c r="M1154"/>
      <c r="N1154"/>
      <c r="O1154"/>
      <c r="P1154"/>
    </row>
    <row r="1155" spans="1:16" ht="15" customHeight="1" x14ac:dyDescent="0.2">
      <c r="A1155"/>
      <c r="B1155"/>
      <c r="C1155"/>
      <c r="H1155"/>
      <c r="I1155"/>
      <c r="J1155"/>
      <c r="K1155"/>
      <c r="L1155"/>
      <c r="M1155"/>
      <c r="N1155"/>
      <c r="O1155"/>
      <c r="P1155"/>
    </row>
    <row r="1156" spans="1:16" ht="15" customHeight="1" x14ac:dyDescent="0.2">
      <c r="A1156"/>
      <c r="B1156"/>
      <c r="C1156"/>
      <c r="H1156"/>
      <c r="I1156"/>
      <c r="J1156"/>
      <c r="K1156"/>
      <c r="L1156"/>
      <c r="M1156"/>
      <c r="N1156"/>
      <c r="O1156"/>
      <c r="P1156"/>
    </row>
    <row r="1157" spans="1:16" ht="15" customHeight="1" x14ac:dyDescent="0.2">
      <c r="A1157"/>
      <c r="B1157"/>
      <c r="C1157"/>
      <c r="H1157"/>
      <c r="I1157"/>
      <c r="J1157"/>
      <c r="K1157"/>
      <c r="L1157"/>
      <c r="M1157"/>
      <c r="N1157"/>
      <c r="O1157"/>
      <c r="P1157"/>
    </row>
    <row r="1158" spans="1:16" ht="15" customHeight="1" x14ac:dyDescent="0.2">
      <c r="A1158"/>
      <c r="B1158"/>
      <c r="C1158"/>
      <c r="H1158"/>
      <c r="I1158"/>
      <c r="J1158"/>
      <c r="K1158"/>
      <c r="L1158"/>
      <c r="M1158"/>
      <c r="N1158"/>
      <c r="O1158"/>
      <c r="P1158"/>
    </row>
    <row r="1159" spans="1:16" ht="15" customHeight="1" x14ac:dyDescent="0.2">
      <c r="A1159"/>
      <c r="B1159"/>
      <c r="C1159"/>
      <c r="H1159"/>
      <c r="I1159"/>
      <c r="J1159"/>
      <c r="K1159"/>
      <c r="L1159"/>
      <c r="M1159"/>
      <c r="N1159"/>
      <c r="O1159"/>
      <c r="P1159"/>
    </row>
    <row r="1160" spans="1:16" ht="15" customHeight="1" x14ac:dyDescent="0.2">
      <c r="A1160"/>
      <c r="B1160"/>
      <c r="C1160"/>
      <c r="H1160"/>
      <c r="I1160"/>
      <c r="J1160"/>
      <c r="K1160"/>
      <c r="L1160"/>
      <c r="M1160"/>
      <c r="N1160"/>
      <c r="O1160"/>
      <c r="P1160"/>
    </row>
    <row r="1161" spans="1:16" ht="15" customHeight="1" x14ac:dyDescent="0.2">
      <c r="A1161"/>
      <c r="B1161"/>
      <c r="C1161"/>
      <c r="H1161"/>
      <c r="I1161"/>
      <c r="J1161"/>
      <c r="K1161"/>
      <c r="L1161"/>
      <c r="M1161"/>
      <c r="N1161"/>
      <c r="O1161"/>
      <c r="P1161"/>
    </row>
    <row r="1162" spans="1:16" ht="30.75" customHeight="1" x14ac:dyDescent="0.2">
      <c r="A1162"/>
      <c r="B1162"/>
      <c r="C1162"/>
      <c r="H1162"/>
      <c r="I1162"/>
      <c r="J1162"/>
      <c r="K1162"/>
      <c r="L1162"/>
      <c r="M1162"/>
      <c r="N1162"/>
      <c r="O1162"/>
      <c r="P1162"/>
    </row>
    <row r="1163" spans="1:16" ht="13.5" customHeight="1" x14ac:dyDescent="0.2">
      <c r="A1163"/>
      <c r="B1163"/>
      <c r="C1163"/>
      <c r="H1163"/>
      <c r="I1163"/>
      <c r="J1163"/>
      <c r="K1163"/>
      <c r="L1163"/>
      <c r="M1163"/>
      <c r="N1163"/>
      <c r="O1163"/>
      <c r="P1163"/>
    </row>
    <row r="1164" spans="1:16" ht="36.75" customHeight="1" x14ac:dyDescent="0.2">
      <c r="A1164"/>
      <c r="B1164"/>
      <c r="C1164"/>
      <c r="H1164"/>
      <c r="I1164"/>
      <c r="J1164"/>
      <c r="K1164"/>
      <c r="L1164"/>
      <c r="M1164"/>
      <c r="N1164"/>
      <c r="O1164"/>
      <c r="P1164"/>
    </row>
    <row r="1165" spans="1:16" ht="26.25" customHeight="1" x14ac:dyDescent="0.2">
      <c r="A1165"/>
      <c r="B1165"/>
      <c r="C1165"/>
      <c r="H1165"/>
      <c r="I1165"/>
      <c r="J1165"/>
      <c r="K1165"/>
      <c r="L1165"/>
      <c r="M1165"/>
      <c r="N1165"/>
      <c r="O1165"/>
      <c r="P1165"/>
    </row>
    <row r="1166" spans="1:16" x14ac:dyDescent="0.2">
      <c r="A1166"/>
      <c r="B1166"/>
      <c r="C1166"/>
      <c r="H1166"/>
      <c r="I1166"/>
      <c r="J1166"/>
      <c r="K1166"/>
      <c r="L1166"/>
      <c r="M1166"/>
      <c r="N1166"/>
      <c r="O1166"/>
      <c r="P1166"/>
    </row>
    <row r="1167" spans="1:16" x14ac:dyDescent="0.2">
      <c r="A1167"/>
      <c r="B1167"/>
      <c r="C1167"/>
      <c r="H1167"/>
      <c r="I1167"/>
      <c r="J1167"/>
      <c r="K1167"/>
      <c r="L1167"/>
      <c r="M1167"/>
      <c r="N1167"/>
      <c r="O1167"/>
      <c r="P1167"/>
    </row>
    <row r="1168" spans="1:16" x14ac:dyDescent="0.2">
      <c r="A1168"/>
      <c r="B1168"/>
      <c r="C1168"/>
      <c r="H1168"/>
      <c r="I1168"/>
      <c r="J1168"/>
      <c r="K1168"/>
      <c r="L1168"/>
      <c r="M1168"/>
      <c r="N1168"/>
      <c r="O1168"/>
      <c r="P1168"/>
    </row>
    <row r="1169" spans="1:16" ht="12" customHeight="1" x14ac:dyDescent="0.2">
      <c r="A1169"/>
      <c r="B1169"/>
      <c r="C1169"/>
      <c r="H1169"/>
      <c r="I1169"/>
      <c r="J1169"/>
      <c r="K1169"/>
      <c r="L1169"/>
      <c r="M1169"/>
      <c r="N1169"/>
      <c r="O1169"/>
      <c r="P1169"/>
    </row>
    <row r="1170" spans="1:16" ht="12" customHeight="1" x14ac:dyDescent="0.2">
      <c r="A1170"/>
      <c r="B1170"/>
      <c r="C1170"/>
      <c r="H1170"/>
      <c r="I1170"/>
      <c r="J1170"/>
      <c r="K1170"/>
      <c r="L1170"/>
      <c r="M1170"/>
      <c r="N1170"/>
      <c r="O1170"/>
      <c r="P1170"/>
    </row>
    <row r="1171" spans="1:16" ht="12" customHeight="1" x14ac:dyDescent="0.2">
      <c r="A1171"/>
      <c r="B1171"/>
      <c r="C1171"/>
      <c r="H1171"/>
      <c r="I1171"/>
      <c r="J1171"/>
      <c r="K1171"/>
      <c r="L1171"/>
      <c r="M1171"/>
      <c r="N1171"/>
      <c r="O1171"/>
      <c r="P1171"/>
    </row>
    <row r="1172" spans="1:16" ht="12" customHeight="1" x14ac:dyDescent="0.2">
      <c r="A1172"/>
      <c r="B1172"/>
      <c r="C1172"/>
      <c r="H1172"/>
      <c r="I1172"/>
      <c r="J1172"/>
      <c r="K1172"/>
      <c r="L1172"/>
      <c r="M1172"/>
      <c r="N1172"/>
      <c r="O1172"/>
      <c r="P1172"/>
    </row>
    <row r="1173" spans="1:16" ht="12" customHeight="1" x14ac:dyDescent="0.2">
      <c r="A1173"/>
      <c r="B1173"/>
      <c r="C1173"/>
      <c r="H1173"/>
      <c r="I1173"/>
      <c r="J1173"/>
      <c r="K1173"/>
      <c r="L1173"/>
      <c r="M1173"/>
      <c r="N1173"/>
      <c r="O1173"/>
      <c r="P1173"/>
    </row>
    <row r="1174" spans="1:16" ht="12" customHeight="1" x14ac:dyDescent="0.2">
      <c r="A1174"/>
      <c r="B1174"/>
      <c r="C1174"/>
      <c r="H1174"/>
      <c r="I1174"/>
      <c r="J1174"/>
      <c r="K1174"/>
      <c r="L1174"/>
      <c r="M1174"/>
      <c r="N1174"/>
      <c r="O1174"/>
      <c r="P1174"/>
    </row>
    <row r="1175" spans="1:16" ht="12" customHeight="1" x14ac:dyDescent="0.2">
      <c r="A1175"/>
      <c r="B1175"/>
      <c r="C1175"/>
      <c r="H1175"/>
      <c r="I1175"/>
      <c r="J1175"/>
      <c r="K1175"/>
      <c r="L1175"/>
      <c r="M1175"/>
      <c r="N1175"/>
      <c r="O1175"/>
      <c r="P1175"/>
    </row>
    <row r="1176" spans="1:16" ht="12" customHeight="1" x14ac:dyDescent="0.2">
      <c r="A1176"/>
      <c r="B1176"/>
      <c r="C1176"/>
      <c r="H1176"/>
      <c r="I1176"/>
      <c r="J1176"/>
      <c r="K1176"/>
      <c r="L1176"/>
      <c r="M1176"/>
      <c r="N1176"/>
      <c r="O1176"/>
      <c r="P1176"/>
    </row>
    <row r="1177" spans="1:16" ht="12" customHeight="1" x14ac:dyDescent="0.2">
      <c r="A1177"/>
      <c r="B1177"/>
      <c r="C1177"/>
      <c r="H1177"/>
      <c r="I1177"/>
      <c r="J1177"/>
      <c r="K1177"/>
      <c r="L1177"/>
      <c r="M1177"/>
      <c r="N1177"/>
      <c r="O1177"/>
      <c r="P1177"/>
    </row>
    <row r="1178" spans="1:16" ht="12" customHeight="1" x14ac:dyDescent="0.2">
      <c r="A1178"/>
      <c r="B1178"/>
      <c r="C1178"/>
      <c r="H1178"/>
      <c r="I1178"/>
      <c r="J1178"/>
      <c r="K1178"/>
      <c r="L1178"/>
      <c r="M1178"/>
      <c r="N1178"/>
      <c r="O1178"/>
      <c r="P1178"/>
    </row>
    <row r="1179" spans="1:16" x14ac:dyDescent="0.2">
      <c r="A1179"/>
      <c r="B1179"/>
      <c r="C1179"/>
      <c r="H1179"/>
      <c r="I1179"/>
      <c r="J1179"/>
      <c r="K1179"/>
      <c r="L1179"/>
      <c r="M1179"/>
      <c r="N1179"/>
      <c r="O1179"/>
      <c r="P1179"/>
    </row>
    <row r="1180" spans="1:16" x14ac:dyDescent="0.2">
      <c r="A1180"/>
      <c r="B1180"/>
      <c r="C1180"/>
      <c r="H1180"/>
      <c r="I1180"/>
      <c r="J1180"/>
      <c r="K1180"/>
      <c r="L1180"/>
      <c r="M1180"/>
      <c r="N1180"/>
      <c r="O1180"/>
      <c r="P1180"/>
    </row>
    <row r="1181" spans="1:16" ht="12" customHeight="1" x14ac:dyDescent="0.2">
      <c r="A1181"/>
      <c r="B1181"/>
      <c r="C1181"/>
      <c r="H1181"/>
      <c r="I1181"/>
      <c r="J1181"/>
      <c r="K1181"/>
      <c r="L1181"/>
      <c r="M1181"/>
      <c r="N1181"/>
      <c r="O1181"/>
      <c r="P1181"/>
    </row>
    <row r="1182" spans="1:16" ht="12" customHeight="1" x14ac:dyDescent="0.2">
      <c r="A1182"/>
      <c r="B1182"/>
      <c r="C1182"/>
      <c r="H1182"/>
      <c r="I1182"/>
      <c r="J1182"/>
      <c r="K1182"/>
      <c r="L1182"/>
      <c r="M1182"/>
      <c r="N1182"/>
      <c r="O1182"/>
      <c r="P1182"/>
    </row>
    <row r="1183" spans="1:16" ht="12" customHeight="1" x14ac:dyDescent="0.2">
      <c r="A1183"/>
      <c r="B1183"/>
      <c r="C1183"/>
      <c r="H1183"/>
      <c r="I1183"/>
      <c r="J1183"/>
      <c r="K1183"/>
      <c r="L1183"/>
      <c r="M1183"/>
      <c r="N1183"/>
      <c r="O1183"/>
      <c r="P1183"/>
    </row>
    <row r="1184" spans="1:16" ht="12" customHeight="1" x14ac:dyDescent="0.2">
      <c r="A1184"/>
      <c r="B1184"/>
      <c r="C1184"/>
      <c r="H1184"/>
      <c r="I1184"/>
      <c r="J1184"/>
      <c r="K1184"/>
      <c r="L1184"/>
      <c r="M1184"/>
      <c r="N1184"/>
      <c r="O1184"/>
      <c r="P1184"/>
    </row>
    <row r="1185" spans="1:16" ht="12" customHeight="1" x14ac:dyDescent="0.2">
      <c r="A1185"/>
      <c r="B1185"/>
      <c r="C1185"/>
      <c r="H1185"/>
      <c r="I1185"/>
      <c r="J1185"/>
      <c r="K1185"/>
      <c r="L1185"/>
      <c r="M1185"/>
      <c r="N1185"/>
      <c r="O1185"/>
      <c r="P1185"/>
    </row>
    <row r="1186" spans="1:16" ht="12" customHeight="1" x14ac:dyDescent="0.2">
      <c r="A1186"/>
      <c r="B1186"/>
      <c r="C1186"/>
      <c r="H1186"/>
      <c r="I1186"/>
      <c r="J1186"/>
      <c r="K1186"/>
      <c r="L1186"/>
      <c r="M1186"/>
      <c r="N1186"/>
      <c r="O1186"/>
      <c r="P1186"/>
    </row>
    <row r="1187" spans="1:16" ht="12" customHeight="1" x14ac:dyDescent="0.2">
      <c r="A1187"/>
      <c r="B1187"/>
      <c r="C1187"/>
      <c r="H1187"/>
      <c r="I1187"/>
      <c r="J1187"/>
      <c r="K1187"/>
      <c r="L1187"/>
      <c r="M1187"/>
      <c r="N1187"/>
      <c r="O1187"/>
      <c r="P1187"/>
    </row>
    <row r="1188" spans="1:16" ht="12" customHeight="1" x14ac:dyDescent="0.2">
      <c r="A1188"/>
      <c r="B1188"/>
      <c r="C1188"/>
      <c r="H1188"/>
      <c r="I1188"/>
      <c r="J1188"/>
      <c r="K1188"/>
      <c r="L1188"/>
      <c r="M1188"/>
      <c r="N1188"/>
      <c r="O1188"/>
      <c r="P1188"/>
    </row>
    <row r="1189" spans="1:16" ht="12" customHeight="1" x14ac:dyDescent="0.2">
      <c r="A1189"/>
      <c r="B1189"/>
      <c r="C1189"/>
      <c r="H1189"/>
      <c r="I1189"/>
      <c r="J1189"/>
      <c r="K1189"/>
      <c r="L1189"/>
      <c r="M1189"/>
      <c r="N1189"/>
      <c r="O1189"/>
      <c r="P1189"/>
    </row>
    <row r="1190" spans="1:16" ht="12" customHeight="1" x14ac:dyDescent="0.2">
      <c r="A1190"/>
      <c r="B1190"/>
      <c r="C1190"/>
      <c r="H1190"/>
      <c r="I1190"/>
      <c r="J1190"/>
      <c r="K1190"/>
      <c r="L1190"/>
      <c r="M1190"/>
      <c r="N1190"/>
      <c r="O1190"/>
      <c r="P1190"/>
    </row>
    <row r="1191" spans="1:16" ht="12" customHeight="1" x14ac:dyDescent="0.2">
      <c r="A1191"/>
      <c r="B1191"/>
      <c r="C1191"/>
      <c r="H1191"/>
      <c r="I1191"/>
      <c r="J1191"/>
      <c r="K1191"/>
      <c r="L1191"/>
      <c r="M1191"/>
      <c r="N1191"/>
      <c r="O1191"/>
      <c r="P1191"/>
    </row>
    <row r="1192" spans="1:16" ht="12" customHeight="1" x14ac:dyDescent="0.2">
      <c r="A1192"/>
      <c r="B1192"/>
      <c r="C1192"/>
      <c r="H1192"/>
      <c r="I1192"/>
      <c r="J1192"/>
      <c r="K1192"/>
      <c r="L1192"/>
      <c r="M1192"/>
      <c r="N1192"/>
      <c r="O1192"/>
      <c r="P1192"/>
    </row>
    <row r="1193" spans="1:16" ht="12" customHeight="1" x14ac:dyDescent="0.2">
      <c r="A1193"/>
      <c r="B1193"/>
      <c r="C1193"/>
      <c r="H1193"/>
      <c r="I1193"/>
      <c r="J1193"/>
      <c r="K1193"/>
      <c r="L1193"/>
      <c r="M1193"/>
      <c r="N1193"/>
      <c r="O1193"/>
      <c r="P1193"/>
    </row>
    <row r="1194" spans="1:16" ht="12" customHeight="1" x14ac:dyDescent="0.2">
      <c r="A1194"/>
      <c r="B1194"/>
      <c r="C1194"/>
      <c r="H1194"/>
      <c r="I1194"/>
      <c r="J1194"/>
      <c r="K1194"/>
      <c r="L1194"/>
      <c r="M1194"/>
      <c r="N1194"/>
      <c r="O1194"/>
      <c r="P1194"/>
    </row>
    <row r="1195" spans="1:16" ht="12" customHeight="1" x14ac:dyDescent="0.2">
      <c r="A1195"/>
      <c r="B1195"/>
      <c r="C1195"/>
      <c r="H1195"/>
      <c r="I1195"/>
      <c r="J1195"/>
      <c r="K1195"/>
      <c r="L1195"/>
      <c r="M1195"/>
      <c r="N1195"/>
      <c r="O1195"/>
      <c r="P1195"/>
    </row>
    <row r="1196" spans="1:16" ht="12" customHeight="1" x14ac:dyDescent="0.2">
      <c r="A1196"/>
      <c r="B1196"/>
      <c r="C1196"/>
      <c r="H1196"/>
      <c r="I1196"/>
      <c r="J1196"/>
      <c r="K1196"/>
      <c r="L1196"/>
      <c r="M1196"/>
      <c r="N1196"/>
      <c r="O1196"/>
      <c r="P1196"/>
    </row>
    <row r="1197" spans="1:16" ht="12" customHeight="1" x14ac:dyDescent="0.2">
      <c r="A1197"/>
      <c r="B1197"/>
      <c r="C1197"/>
      <c r="H1197"/>
      <c r="I1197"/>
      <c r="J1197"/>
      <c r="K1197"/>
      <c r="L1197"/>
      <c r="M1197"/>
      <c r="N1197"/>
      <c r="O1197"/>
      <c r="P1197"/>
    </row>
    <row r="1198" spans="1:16" ht="12" customHeight="1" x14ac:dyDescent="0.2">
      <c r="A1198"/>
      <c r="B1198"/>
      <c r="C1198"/>
      <c r="H1198"/>
      <c r="I1198"/>
      <c r="J1198"/>
      <c r="K1198"/>
      <c r="L1198"/>
      <c r="M1198"/>
      <c r="N1198"/>
      <c r="O1198"/>
      <c r="P1198"/>
    </row>
    <row r="1199" spans="1:16" ht="12" customHeight="1" x14ac:dyDescent="0.2">
      <c r="A1199"/>
      <c r="B1199"/>
      <c r="C1199"/>
      <c r="H1199"/>
      <c r="I1199"/>
      <c r="J1199"/>
      <c r="K1199"/>
      <c r="L1199"/>
      <c r="M1199"/>
      <c r="N1199"/>
      <c r="O1199"/>
      <c r="P1199"/>
    </row>
    <row r="1200" spans="1:16" ht="12" customHeight="1" x14ac:dyDescent="0.2">
      <c r="A1200"/>
      <c r="B1200"/>
      <c r="C1200"/>
      <c r="H1200"/>
      <c r="I1200"/>
      <c r="J1200"/>
      <c r="K1200"/>
      <c r="L1200"/>
      <c r="M1200"/>
      <c r="N1200"/>
      <c r="O1200"/>
      <c r="P1200"/>
    </row>
    <row r="1201" spans="1:18" x14ac:dyDescent="0.2">
      <c r="A1201"/>
      <c r="B1201"/>
      <c r="C1201"/>
      <c r="H1201"/>
      <c r="I1201"/>
      <c r="J1201"/>
      <c r="K1201"/>
      <c r="L1201"/>
      <c r="M1201"/>
      <c r="N1201"/>
      <c r="O1201"/>
      <c r="P1201"/>
    </row>
    <row r="1202" spans="1:18" ht="12" customHeight="1" x14ac:dyDescent="0.2">
      <c r="A1202"/>
      <c r="B1202"/>
      <c r="C1202"/>
      <c r="H1202"/>
      <c r="I1202"/>
      <c r="J1202"/>
      <c r="K1202"/>
      <c r="L1202"/>
      <c r="M1202"/>
      <c r="N1202"/>
      <c r="O1202"/>
      <c r="P1202"/>
    </row>
    <row r="1203" spans="1:18" ht="12" customHeight="1" x14ac:dyDescent="0.2">
      <c r="A1203"/>
      <c r="B1203"/>
      <c r="C1203"/>
      <c r="H1203"/>
      <c r="I1203"/>
      <c r="J1203"/>
      <c r="K1203"/>
      <c r="L1203"/>
      <c r="M1203"/>
      <c r="N1203"/>
      <c r="O1203"/>
      <c r="P1203"/>
    </row>
    <row r="1204" spans="1:18" ht="12" customHeight="1" x14ac:dyDescent="0.2">
      <c r="A1204"/>
      <c r="B1204"/>
      <c r="C1204"/>
      <c r="H1204"/>
      <c r="I1204"/>
      <c r="J1204"/>
      <c r="K1204"/>
      <c r="L1204"/>
      <c r="M1204"/>
      <c r="N1204"/>
      <c r="O1204"/>
      <c r="P1204"/>
    </row>
    <row r="1205" spans="1:18" ht="12" customHeight="1" x14ac:dyDescent="0.2">
      <c r="A1205"/>
      <c r="B1205"/>
      <c r="C1205"/>
      <c r="H1205"/>
      <c r="I1205"/>
      <c r="J1205"/>
      <c r="K1205"/>
      <c r="L1205"/>
      <c r="M1205"/>
      <c r="N1205"/>
      <c r="O1205"/>
      <c r="P1205"/>
    </row>
    <row r="1206" spans="1:18" ht="12" customHeight="1" x14ac:dyDescent="0.2">
      <c r="A1206"/>
      <c r="B1206"/>
      <c r="C1206"/>
      <c r="H1206"/>
      <c r="I1206"/>
      <c r="J1206"/>
      <c r="K1206"/>
      <c r="L1206"/>
      <c r="M1206"/>
      <c r="N1206"/>
      <c r="O1206"/>
      <c r="P1206"/>
    </row>
    <row r="1207" spans="1:18" ht="12" customHeight="1" x14ac:dyDescent="0.2">
      <c r="A1207"/>
      <c r="B1207"/>
      <c r="C1207"/>
      <c r="H1207"/>
      <c r="I1207"/>
      <c r="J1207"/>
      <c r="K1207"/>
      <c r="L1207"/>
      <c r="M1207"/>
      <c r="N1207"/>
      <c r="O1207"/>
      <c r="P1207"/>
    </row>
    <row r="1208" spans="1:18" ht="12" customHeight="1" x14ac:dyDescent="0.2">
      <c r="A1208"/>
      <c r="B1208"/>
      <c r="C1208"/>
      <c r="H1208"/>
      <c r="I1208"/>
      <c r="J1208"/>
      <c r="K1208"/>
      <c r="L1208"/>
      <c r="M1208"/>
      <c r="N1208"/>
      <c r="O1208"/>
      <c r="P1208"/>
    </row>
    <row r="1209" spans="1:18" x14ac:dyDescent="0.2">
      <c r="A1209"/>
      <c r="B1209"/>
      <c r="C1209"/>
      <c r="H1209"/>
      <c r="I1209"/>
      <c r="J1209"/>
      <c r="K1209"/>
      <c r="L1209"/>
      <c r="M1209"/>
      <c r="N1209"/>
      <c r="O1209"/>
      <c r="P1209"/>
    </row>
    <row r="1210" spans="1:18" s="485" customFormat="1" ht="24" customHeight="1" x14ac:dyDescent="0.2">
      <c r="R1210" s="1008"/>
    </row>
    <row r="1211" spans="1:18" x14ac:dyDescent="0.2">
      <c r="A1211"/>
      <c r="B1211"/>
      <c r="C1211"/>
      <c r="H1211"/>
      <c r="I1211"/>
      <c r="J1211"/>
      <c r="K1211"/>
      <c r="L1211"/>
      <c r="M1211"/>
      <c r="N1211"/>
      <c r="O1211"/>
      <c r="P1211"/>
    </row>
    <row r="1212" spans="1:18" ht="12" customHeight="1" x14ac:dyDescent="0.2">
      <c r="A1212"/>
      <c r="B1212"/>
      <c r="C1212"/>
      <c r="H1212"/>
      <c r="I1212"/>
      <c r="J1212"/>
      <c r="K1212"/>
      <c r="L1212"/>
      <c r="M1212"/>
      <c r="N1212"/>
      <c r="O1212"/>
      <c r="P1212"/>
    </row>
    <row r="1213" spans="1:18" x14ac:dyDescent="0.2">
      <c r="A1213"/>
      <c r="B1213"/>
      <c r="C1213"/>
      <c r="H1213"/>
      <c r="I1213"/>
      <c r="J1213"/>
      <c r="K1213"/>
      <c r="L1213"/>
      <c r="M1213"/>
      <c r="N1213"/>
      <c r="O1213"/>
      <c r="P1213"/>
    </row>
    <row r="1214" spans="1:18" x14ac:dyDescent="0.2">
      <c r="A1214"/>
      <c r="B1214"/>
      <c r="C1214"/>
      <c r="H1214"/>
      <c r="I1214"/>
      <c r="J1214"/>
      <c r="K1214"/>
      <c r="L1214"/>
      <c r="M1214"/>
      <c r="N1214"/>
      <c r="O1214"/>
      <c r="P1214"/>
    </row>
    <row r="1215" spans="1:18" x14ac:dyDescent="0.2">
      <c r="A1215"/>
      <c r="B1215"/>
      <c r="C1215"/>
      <c r="H1215"/>
      <c r="I1215"/>
      <c r="J1215"/>
      <c r="K1215"/>
      <c r="L1215"/>
      <c r="M1215"/>
      <c r="N1215"/>
      <c r="O1215"/>
      <c r="P1215"/>
    </row>
    <row r="1216" spans="1:18" s="485" customFormat="1" x14ac:dyDescent="0.2">
      <c r="R1216" s="1008"/>
    </row>
    <row r="1217" spans="1:16" x14ac:dyDescent="0.2">
      <c r="A1217"/>
      <c r="B1217"/>
      <c r="C1217"/>
      <c r="H1217"/>
      <c r="I1217"/>
      <c r="J1217"/>
      <c r="K1217"/>
      <c r="L1217"/>
      <c r="M1217"/>
      <c r="N1217"/>
      <c r="O1217"/>
      <c r="P1217"/>
    </row>
    <row r="1218" spans="1:16" ht="12" customHeight="1" x14ac:dyDescent="0.2">
      <c r="A1218"/>
      <c r="B1218"/>
      <c r="C1218"/>
      <c r="H1218"/>
      <c r="I1218"/>
      <c r="J1218"/>
      <c r="K1218"/>
      <c r="L1218"/>
      <c r="M1218"/>
      <c r="N1218"/>
      <c r="O1218"/>
      <c r="P1218"/>
    </row>
    <row r="1219" spans="1:16" ht="12" customHeight="1" x14ac:dyDescent="0.2">
      <c r="A1219"/>
      <c r="B1219"/>
      <c r="C1219"/>
      <c r="H1219"/>
      <c r="I1219"/>
      <c r="J1219"/>
      <c r="K1219"/>
      <c r="L1219"/>
      <c r="M1219"/>
      <c r="N1219"/>
      <c r="O1219"/>
      <c r="P1219"/>
    </row>
    <row r="1220" spans="1:16" ht="12" customHeight="1" x14ac:dyDescent="0.2">
      <c r="A1220"/>
      <c r="B1220"/>
      <c r="C1220"/>
      <c r="H1220"/>
      <c r="I1220"/>
      <c r="J1220"/>
      <c r="K1220"/>
      <c r="L1220"/>
      <c r="M1220"/>
      <c r="N1220"/>
      <c r="O1220"/>
      <c r="P1220"/>
    </row>
    <row r="1221" spans="1:16" ht="12" customHeight="1" x14ac:dyDescent="0.2">
      <c r="A1221"/>
      <c r="B1221"/>
      <c r="C1221"/>
      <c r="H1221"/>
      <c r="I1221"/>
      <c r="J1221"/>
      <c r="K1221"/>
      <c r="L1221"/>
      <c r="M1221"/>
      <c r="N1221"/>
      <c r="O1221"/>
      <c r="P1221"/>
    </row>
    <row r="1222" spans="1:16" ht="12" customHeight="1" x14ac:dyDescent="0.2">
      <c r="A1222"/>
      <c r="B1222"/>
      <c r="C1222"/>
      <c r="H1222"/>
      <c r="I1222"/>
      <c r="J1222"/>
      <c r="K1222"/>
      <c r="L1222"/>
      <c r="M1222"/>
      <c r="N1222"/>
      <c r="O1222"/>
      <c r="P1222"/>
    </row>
    <row r="1223" spans="1:16" ht="12" customHeight="1" x14ac:dyDescent="0.2">
      <c r="A1223"/>
      <c r="B1223"/>
      <c r="C1223"/>
      <c r="H1223"/>
      <c r="I1223"/>
      <c r="J1223"/>
      <c r="K1223"/>
      <c r="L1223"/>
      <c r="M1223"/>
      <c r="N1223"/>
      <c r="O1223"/>
      <c r="P1223"/>
    </row>
    <row r="1224" spans="1:16" ht="15" customHeight="1" x14ac:dyDescent="0.2">
      <c r="A1224"/>
      <c r="B1224"/>
      <c r="C1224"/>
      <c r="H1224"/>
      <c r="I1224"/>
      <c r="J1224"/>
      <c r="K1224"/>
      <c r="L1224"/>
      <c r="M1224"/>
      <c r="N1224"/>
      <c r="O1224"/>
      <c r="P1224"/>
    </row>
    <row r="1225" spans="1:16" x14ac:dyDescent="0.2">
      <c r="A1225"/>
      <c r="B1225"/>
      <c r="C1225"/>
      <c r="H1225"/>
      <c r="I1225"/>
      <c r="J1225"/>
      <c r="K1225"/>
      <c r="L1225"/>
      <c r="M1225"/>
      <c r="N1225"/>
      <c r="O1225"/>
      <c r="P1225"/>
    </row>
    <row r="1226" spans="1:16" ht="12" customHeight="1" x14ac:dyDescent="0.2">
      <c r="A1226"/>
      <c r="B1226"/>
      <c r="C1226"/>
      <c r="H1226"/>
      <c r="I1226"/>
      <c r="J1226"/>
      <c r="K1226"/>
      <c r="L1226"/>
      <c r="M1226"/>
      <c r="N1226"/>
      <c r="O1226"/>
      <c r="P1226"/>
    </row>
    <row r="1227" spans="1:16" ht="12" customHeight="1" x14ac:dyDescent="0.2">
      <c r="A1227"/>
      <c r="B1227"/>
      <c r="C1227"/>
      <c r="H1227"/>
      <c r="I1227"/>
      <c r="J1227"/>
      <c r="K1227"/>
      <c r="L1227"/>
      <c r="M1227"/>
      <c r="N1227"/>
      <c r="O1227"/>
      <c r="P1227"/>
    </row>
    <row r="1228" spans="1:16" ht="12" customHeight="1" x14ac:dyDescent="0.2">
      <c r="A1228"/>
      <c r="B1228"/>
      <c r="C1228"/>
      <c r="H1228"/>
      <c r="I1228"/>
      <c r="J1228"/>
      <c r="K1228"/>
      <c r="L1228"/>
      <c r="M1228"/>
      <c r="N1228"/>
      <c r="O1228"/>
      <c r="P1228"/>
    </row>
    <row r="1229" spans="1:16" ht="12" customHeight="1" x14ac:dyDescent="0.2">
      <c r="A1229"/>
      <c r="B1229"/>
      <c r="C1229"/>
      <c r="H1229"/>
      <c r="I1229"/>
      <c r="J1229"/>
      <c r="K1229"/>
      <c r="L1229"/>
      <c r="M1229"/>
      <c r="N1229"/>
      <c r="O1229"/>
      <c r="P1229"/>
    </row>
    <row r="1230" spans="1:16" ht="12" customHeight="1" x14ac:dyDescent="0.2">
      <c r="A1230"/>
      <c r="B1230"/>
      <c r="C1230"/>
      <c r="H1230"/>
      <c r="I1230"/>
      <c r="J1230"/>
      <c r="K1230"/>
      <c r="L1230"/>
      <c r="M1230"/>
      <c r="N1230"/>
      <c r="O1230"/>
      <c r="P1230"/>
    </row>
    <row r="1231" spans="1:16" ht="12" customHeight="1" x14ac:dyDescent="0.2">
      <c r="A1231"/>
      <c r="B1231"/>
      <c r="C1231"/>
      <c r="H1231"/>
      <c r="I1231"/>
      <c r="J1231"/>
      <c r="K1231"/>
      <c r="L1231"/>
      <c r="M1231"/>
      <c r="N1231"/>
      <c r="O1231"/>
      <c r="P1231"/>
    </row>
    <row r="1232" spans="1:16" ht="12" customHeight="1" x14ac:dyDescent="0.2">
      <c r="A1232"/>
      <c r="B1232"/>
      <c r="C1232"/>
      <c r="H1232"/>
      <c r="I1232"/>
      <c r="J1232"/>
      <c r="K1232"/>
      <c r="L1232"/>
      <c r="M1232"/>
      <c r="N1232"/>
      <c r="O1232"/>
      <c r="P1232"/>
    </row>
    <row r="1233" spans="1:16" ht="12" customHeight="1" x14ac:dyDescent="0.2">
      <c r="A1233"/>
      <c r="B1233"/>
      <c r="C1233"/>
      <c r="H1233"/>
      <c r="I1233"/>
      <c r="J1233"/>
      <c r="K1233"/>
      <c r="L1233"/>
      <c r="M1233"/>
      <c r="N1233"/>
      <c r="O1233"/>
      <c r="P1233"/>
    </row>
    <row r="1234" spans="1:16" ht="12" customHeight="1" x14ac:dyDescent="0.2">
      <c r="A1234"/>
      <c r="B1234"/>
      <c r="C1234"/>
      <c r="H1234"/>
      <c r="I1234"/>
      <c r="J1234"/>
      <c r="K1234"/>
      <c r="L1234"/>
      <c r="M1234"/>
      <c r="N1234"/>
      <c r="O1234"/>
      <c r="P1234"/>
    </row>
    <row r="1235" spans="1:16" ht="12" customHeight="1" x14ac:dyDescent="0.2">
      <c r="A1235"/>
      <c r="B1235"/>
      <c r="C1235"/>
      <c r="H1235"/>
      <c r="I1235"/>
      <c r="J1235"/>
      <c r="K1235"/>
      <c r="L1235"/>
      <c r="M1235"/>
      <c r="N1235"/>
      <c r="O1235"/>
      <c r="P1235"/>
    </row>
    <row r="1236" spans="1:16" ht="12" customHeight="1" x14ac:dyDescent="0.2">
      <c r="A1236"/>
      <c r="B1236"/>
      <c r="C1236"/>
      <c r="H1236"/>
      <c r="I1236"/>
      <c r="J1236"/>
      <c r="K1236"/>
      <c r="L1236"/>
      <c r="M1236"/>
      <c r="N1236"/>
      <c r="O1236"/>
      <c r="P1236"/>
    </row>
    <row r="1237" spans="1:16" ht="12" customHeight="1" x14ac:dyDescent="0.2">
      <c r="A1237"/>
      <c r="B1237"/>
      <c r="C1237"/>
      <c r="H1237"/>
      <c r="I1237"/>
      <c r="J1237"/>
      <c r="K1237"/>
      <c r="L1237"/>
      <c r="M1237"/>
      <c r="N1237"/>
      <c r="O1237"/>
      <c r="P1237"/>
    </row>
    <row r="1238" spans="1:16" ht="15" customHeight="1" x14ac:dyDescent="0.2">
      <c r="A1238"/>
      <c r="B1238"/>
      <c r="C1238"/>
      <c r="H1238"/>
      <c r="I1238"/>
      <c r="J1238"/>
      <c r="K1238"/>
      <c r="L1238"/>
      <c r="M1238"/>
      <c r="N1238"/>
      <c r="O1238"/>
      <c r="P1238"/>
    </row>
    <row r="1239" spans="1:16" ht="15" customHeight="1" x14ac:dyDescent="0.2">
      <c r="A1239"/>
      <c r="B1239"/>
      <c r="C1239"/>
      <c r="H1239"/>
      <c r="I1239"/>
      <c r="J1239"/>
      <c r="K1239"/>
      <c r="L1239"/>
      <c r="M1239"/>
      <c r="N1239"/>
      <c r="O1239"/>
      <c r="P1239"/>
    </row>
    <row r="1240" spans="1:16" ht="15" customHeight="1" x14ac:dyDescent="0.2">
      <c r="A1240"/>
      <c r="B1240"/>
      <c r="C1240"/>
      <c r="H1240"/>
      <c r="I1240"/>
      <c r="J1240"/>
      <c r="K1240"/>
      <c r="L1240"/>
      <c r="M1240"/>
      <c r="N1240"/>
      <c r="O1240"/>
      <c r="P1240"/>
    </row>
    <row r="1241" spans="1:16" ht="15" customHeight="1" x14ac:dyDescent="0.2">
      <c r="A1241"/>
      <c r="B1241"/>
      <c r="C1241"/>
      <c r="H1241"/>
      <c r="I1241"/>
      <c r="J1241"/>
      <c r="K1241"/>
      <c r="L1241"/>
      <c r="M1241"/>
      <c r="N1241"/>
      <c r="O1241"/>
      <c r="P1241"/>
    </row>
    <row r="1242" spans="1:16" ht="15" customHeight="1" x14ac:dyDescent="0.2">
      <c r="A1242"/>
      <c r="B1242"/>
      <c r="C1242"/>
      <c r="H1242"/>
      <c r="I1242"/>
      <c r="J1242"/>
      <c r="K1242"/>
      <c r="L1242"/>
      <c r="M1242"/>
      <c r="N1242"/>
      <c r="O1242"/>
      <c r="P1242"/>
    </row>
    <row r="1243" spans="1:16" ht="15" customHeight="1" x14ac:dyDescent="0.2">
      <c r="A1243"/>
      <c r="B1243"/>
      <c r="C1243"/>
      <c r="H1243"/>
      <c r="I1243"/>
      <c r="J1243"/>
      <c r="K1243"/>
      <c r="L1243"/>
      <c r="M1243"/>
      <c r="N1243"/>
      <c r="O1243"/>
      <c r="P1243"/>
    </row>
    <row r="1244" spans="1:16" ht="15" customHeight="1" x14ac:dyDescent="0.2">
      <c r="A1244"/>
      <c r="B1244"/>
      <c r="C1244"/>
      <c r="H1244"/>
      <c r="I1244"/>
      <c r="J1244"/>
      <c r="K1244"/>
      <c r="L1244"/>
      <c r="M1244"/>
      <c r="N1244"/>
      <c r="O1244"/>
      <c r="P1244"/>
    </row>
    <row r="1245" spans="1:16" ht="15" customHeight="1" x14ac:dyDescent="0.2">
      <c r="A1245"/>
      <c r="B1245"/>
      <c r="C1245"/>
      <c r="H1245"/>
      <c r="I1245"/>
      <c r="J1245"/>
      <c r="K1245"/>
      <c r="L1245"/>
      <c r="M1245"/>
      <c r="N1245"/>
      <c r="O1245"/>
      <c r="P1245"/>
    </row>
    <row r="1246" spans="1:16" ht="15" customHeight="1" x14ac:dyDescent="0.2">
      <c r="A1246"/>
      <c r="B1246"/>
      <c r="C1246"/>
      <c r="H1246"/>
      <c r="I1246"/>
      <c r="J1246"/>
      <c r="K1246"/>
      <c r="L1246"/>
      <c r="M1246"/>
      <c r="N1246"/>
      <c r="O1246"/>
      <c r="P1246"/>
    </row>
    <row r="1247" spans="1:16" ht="15" customHeight="1" x14ac:dyDescent="0.2">
      <c r="A1247"/>
      <c r="B1247"/>
      <c r="C1247"/>
      <c r="H1247"/>
      <c r="I1247"/>
      <c r="J1247"/>
      <c r="K1247"/>
      <c r="L1247"/>
      <c r="M1247"/>
      <c r="N1247"/>
      <c r="O1247"/>
      <c r="P1247"/>
    </row>
    <row r="1248" spans="1:16" ht="15" customHeight="1" x14ac:dyDescent="0.2">
      <c r="A1248"/>
      <c r="B1248"/>
      <c r="C1248"/>
      <c r="H1248"/>
      <c r="I1248"/>
      <c r="J1248"/>
      <c r="K1248"/>
      <c r="L1248"/>
      <c r="M1248"/>
      <c r="N1248"/>
      <c r="O1248"/>
      <c r="P1248"/>
    </row>
    <row r="1249" spans="1:16" ht="15" customHeight="1" x14ac:dyDescent="0.2">
      <c r="A1249"/>
      <c r="B1249"/>
      <c r="C1249"/>
      <c r="H1249"/>
      <c r="I1249"/>
      <c r="J1249"/>
      <c r="K1249"/>
      <c r="L1249"/>
      <c r="M1249"/>
      <c r="N1249"/>
      <c r="O1249"/>
      <c r="P1249"/>
    </row>
    <row r="1250" spans="1:16" ht="15" customHeight="1" x14ac:dyDescent="0.2">
      <c r="A1250"/>
      <c r="B1250"/>
      <c r="C1250"/>
      <c r="H1250"/>
      <c r="I1250"/>
      <c r="J1250"/>
      <c r="K1250"/>
      <c r="L1250"/>
      <c r="M1250"/>
      <c r="N1250"/>
      <c r="O1250"/>
      <c r="P1250"/>
    </row>
    <row r="1251" spans="1:16" ht="15" customHeight="1" x14ac:dyDescent="0.2">
      <c r="A1251"/>
      <c r="B1251"/>
      <c r="C1251"/>
      <c r="H1251"/>
      <c r="I1251"/>
      <c r="J1251"/>
      <c r="K1251"/>
      <c r="L1251"/>
      <c r="M1251"/>
      <c r="N1251"/>
      <c r="O1251"/>
      <c r="P1251"/>
    </row>
    <row r="1252" spans="1:16" ht="15" customHeight="1" x14ac:dyDescent="0.2">
      <c r="A1252"/>
      <c r="B1252"/>
      <c r="C1252"/>
      <c r="H1252"/>
      <c r="I1252"/>
      <c r="J1252"/>
      <c r="K1252"/>
      <c r="L1252"/>
      <c r="M1252"/>
      <c r="N1252"/>
      <c r="O1252"/>
      <c r="P1252"/>
    </row>
    <row r="1253" spans="1:16" ht="15" customHeight="1" x14ac:dyDescent="0.2">
      <c r="A1253"/>
      <c r="B1253"/>
      <c r="C1253"/>
      <c r="H1253"/>
      <c r="I1253"/>
      <c r="J1253"/>
      <c r="K1253"/>
      <c r="L1253"/>
      <c r="M1253"/>
      <c r="N1253"/>
      <c r="O1253"/>
      <c r="P1253"/>
    </row>
    <row r="1254" spans="1:16" ht="15" customHeight="1" x14ac:dyDescent="0.2">
      <c r="A1254"/>
      <c r="B1254"/>
      <c r="C1254"/>
      <c r="H1254"/>
      <c r="I1254"/>
      <c r="J1254"/>
      <c r="K1254"/>
      <c r="L1254"/>
      <c r="M1254"/>
      <c r="N1254"/>
      <c r="O1254"/>
      <c r="P1254"/>
    </row>
    <row r="1255" spans="1:16" ht="15" customHeight="1" x14ac:dyDescent="0.2">
      <c r="A1255"/>
      <c r="B1255"/>
      <c r="C1255"/>
      <c r="H1255"/>
      <c r="I1255"/>
      <c r="J1255"/>
      <c r="K1255"/>
      <c r="L1255"/>
      <c r="M1255"/>
      <c r="N1255"/>
      <c r="O1255"/>
      <c r="P1255"/>
    </row>
    <row r="1256" spans="1:16" ht="15" customHeight="1" x14ac:dyDescent="0.2">
      <c r="A1256"/>
      <c r="B1256"/>
      <c r="C1256"/>
      <c r="H1256"/>
      <c r="I1256"/>
      <c r="J1256"/>
      <c r="K1256"/>
      <c r="L1256"/>
      <c r="M1256"/>
      <c r="N1256"/>
      <c r="O1256"/>
      <c r="P1256"/>
    </row>
    <row r="1257" spans="1:16" ht="15" customHeight="1" x14ac:dyDescent="0.2">
      <c r="A1257"/>
      <c r="B1257"/>
      <c r="C1257"/>
      <c r="H1257"/>
      <c r="I1257"/>
      <c r="J1257"/>
      <c r="K1257"/>
      <c r="L1257"/>
      <c r="M1257"/>
      <c r="N1257"/>
      <c r="O1257"/>
      <c r="P1257"/>
    </row>
    <row r="1258" spans="1:16" ht="15" customHeight="1" x14ac:dyDescent="0.2">
      <c r="A1258"/>
      <c r="B1258"/>
      <c r="C1258"/>
      <c r="H1258"/>
      <c r="I1258"/>
      <c r="J1258"/>
      <c r="K1258"/>
      <c r="L1258"/>
      <c r="M1258"/>
      <c r="N1258"/>
      <c r="O1258"/>
      <c r="P1258"/>
    </row>
    <row r="1259" spans="1:16" ht="15" customHeight="1" x14ac:dyDescent="0.2">
      <c r="A1259"/>
      <c r="B1259"/>
      <c r="C1259"/>
      <c r="H1259"/>
      <c r="I1259"/>
      <c r="J1259"/>
      <c r="K1259"/>
      <c r="L1259"/>
      <c r="M1259"/>
      <c r="N1259"/>
      <c r="O1259"/>
      <c r="P1259"/>
    </row>
    <row r="1260" spans="1:16" ht="15" customHeight="1" x14ac:dyDescent="0.2">
      <c r="A1260"/>
      <c r="B1260"/>
      <c r="C1260"/>
      <c r="H1260"/>
      <c r="I1260"/>
      <c r="J1260"/>
      <c r="K1260"/>
      <c r="L1260"/>
      <c r="M1260"/>
      <c r="N1260"/>
      <c r="O1260"/>
      <c r="P1260"/>
    </row>
    <row r="1261" spans="1:16" ht="15" customHeight="1" x14ac:dyDescent="0.2">
      <c r="A1261"/>
      <c r="B1261"/>
      <c r="C1261"/>
      <c r="H1261"/>
      <c r="I1261"/>
      <c r="J1261"/>
      <c r="K1261"/>
      <c r="L1261"/>
      <c r="M1261"/>
      <c r="N1261"/>
      <c r="O1261"/>
      <c r="P1261"/>
    </row>
    <row r="1262" spans="1:16" ht="15" customHeight="1" x14ac:dyDescent="0.2">
      <c r="A1262"/>
      <c r="B1262"/>
      <c r="C1262"/>
      <c r="H1262"/>
      <c r="I1262"/>
      <c r="J1262"/>
      <c r="K1262"/>
      <c r="L1262"/>
      <c r="M1262"/>
      <c r="N1262"/>
      <c r="O1262"/>
      <c r="P1262"/>
    </row>
    <row r="1263" spans="1:16" ht="15" customHeight="1" x14ac:dyDescent="0.2">
      <c r="A1263"/>
      <c r="B1263"/>
      <c r="C1263"/>
      <c r="H1263"/>
      <c r="I1263"/>
      <c r="J1263"/>
      <c r="K1263"/>
      <c r="L1263"/>
      <c r="M1263"/>
      <c r="N1263"/>
      <c r="O1263"/>
      <c r="P1263"/>
    </row>
    <row r="1264" spans="1:16" ht="15" customHeight="1" x14ac:dyDescent="0.2">
      <c r="A1264"/>
      <c r="B1264"/>
      <c r="C1264"/>
      <c r="H1264"/>
      <c r="I1264"/>
      <c r="J1264"/>
      <c r="K1264"/>
      <c r="L1264"/>
      <c r="M1264"/>
      <c r="N1264"/>
      <c r="O1264"/>
      <c r="P1264"/>
    </row>
    <row r="1265" spans="1:16" ht="15" customHeight="1" x14ac:dyDescent="0.2">
      <c r="A1265"/>
      <c r="B1265"/>
      <c r="C1265"/>
      <c r="H1265"/>
      <c r="I1265"/>
      <c r="J1265"/>
      <c r="K1265"/>
      <c r="L1265"/>
      <c r="M1265"/>
      <c r="N1265"/>
      <c r="O1265"/>
      <c r="P1265"/>
    </row>
    <row r="1266" spans="1:16" ht="15" customHeight="1" x14ac:dyDescent="0.2">
      <c r="A1266"/>
      <c r="B1266"/>
      <c r="C1266"/>
      <c r="H1266"/>
      <c r="I1266"/>
      <c r="J1266"/>
      <c r="K1266"/>
      <c r="L1266"/>
      <c r="M1266"/>
      <c r="N1266"/>
      <c r="O1266"/>
      <c r="P1266"/>
    </row>
    <row r="1267" spans="1:16" ht="15" customHeight="1" x14ac:dyDescent="0.2">
      <c r="A1267"/>
      <c r="B1267"/>
      <c r="C1267"/>
      <c r="H1267"/>
      <c r="I1267"/>
      <c r="J1267"/>
      <c r="K1267"/>
      <c r="L1267"/>
      <c r="M1267"/>
      <c r="N1267"/>
      <c r="O1267"/>
      <c r="P1267"/>
    </row>
    <row r="1268" spans="1:16" ht="15" customHeight="1" x14ac:dyDescent="0.2">
      <c r="A1268"/>
      <c r="B1268"/>
      <c r="C1268"/>
      <c r="H1268"/>
      <c r="I1268"/>
      <c r="J1268"/>
      <c r="K1268"/>
      <c r="L1268"/>
      <c r="M1268"/>
      <c r="N1268"/>
      <c r="O1268"/>
      <c r="P1268"/>
    </row>
    <row r="1269" spans="1:16" ht="15" customHeight="1" x14ac:dyDescent="0.2">
      <c r="A1269"/>
      <c r="B1269"/>
      <c r="C1269"/>
      <c r="H1269"/>
      <c r="I1269"/>
      <c r="J1269"/>
      <c r="K1269"/>
      <c r="L1269"/>
      <c r="M1269"/>
      <c r="N1269"/>
      <c r="O1269"/>
      <c r="P1269"/>
    </row>
    <row r="1270" spans="1:16" ht="15" customHeight="1" x14ac:dyDescent="0.2">
      <c r="A1270"/>
      <c r="B1270"/>
      <c r="C1270"/>
      <c r="H1270"/>
      <c r="I1270"/>
      <c r="J1270"/>
      <c r="K1270"/>
      <c r="L1270"/>
      <c r="M1270"/>
      <c r="N1270"/>
      <c r="O1270"/>
      <c r="P1270"/>
    </row>
    <row r="1271" spans="1:16" ht="15" customHeight="1" x14ac:dyDescent="0.2">
      <c r="A1271"/>
      <c r="B1271"/>
      <c r="C1271"/>
      <c r="H1271"/>
      <c r="I1271"/>
      <c r="J1271"/>
      <c r="K1271"/>
      <c r="L1271"/>
      <c r="M1271"/>
      <c r="N1271"/>
      <c r="O1271"/>
      <c r="P1271"/>
    </row>
    <row r="1272" spans="1:16" ht="15" customHeight="1" x14ac:dyDescent="0.2">
      <c r="A1272"/>
      <c r="B1272"/>
      <c r="C1272"/>
      <c r="H1272"/>
      <c r="I1272"/>
      <c r="J1272"/>
      <c r="K1272"/>
      <c r="L1272"/>
      <c r="M1272"/>
      <c r="N1272"/>
      <c r="O1272"/>
      <c r="P1272"/>
    </row>
    <row r="1273" spans="1:16" ht="15" customHeight="1" x14ac:dyDescent="0.2">
      <c r="A1273"/>
      <c r="B1273"/>
      <c r="C1273"/>
      <c r="H1273"/>
      <c r="I1273"/>
      <c r="J1273"/>
      <c r="K1273"/>
      <c r="L1273"/>
      <c r="M1273"/>
      <c r="N1273"/>
      <c r="O1273"/>
      <c r="P1273"/>
    </row>
    <row r="1274" spans="1:16" ht="15" customHeight="1" x14ac:dyDescent="0.2">
      <c r="A1274"/>
      <c r="B1274"/>
      <c r="C1274"/>
      <c r="H1274"/>
      <c r="I1274"/>
      <c r="J1274"/>
      <c r="K1274"/>
      <c r="L1274"/>
      <c r="M1274"/>
      <c r="N1274"/>
      <c r="O1274"/>
      <c r="P1274"/>
    </row>
    <row r="1275" spans="1:16" ht="15" customHeight="1" x14ac:dyDescent="0.2">
      <c r="A1275"/>
      <c r="B1275"/>
      <c r="C1275"/>
      <c r="H1275"/>
      <c r="I1275"/>
      <c r="J1275"/>
      <c r="K1275"/>
      <c r="L1275"/>
      <c r="M1275"/>
      <c r="N1275"/>
      <c r="O1275"/>
      <c r="P1275"/>
    </row>
    <row r="1276" spans="1:16" ht="15" customHeight="1" x14ac:dyDescent="0.2">
      <c r="A1276"/>
      <c r="B1276"/>
      <c r="C1276"/>
      <c r="H1276"/>
      <c r="I1276"/>
      <c r="J1276"/>
      <c r="K1276"/>
      <c r="L1276"/>
      <c r="M1276"/>
      <c r="N1276"/>
      <c r="O1276"/>
      <c r="P1276"/>
    </row>
    <row r="1277" spans="1:16" ht="15" customHeight="1" x14ac:dyDescent="0.2">
      <c r="A1277"/>
      <c r="B1277"/>
      <c r="C1277"/>
      <c r="H1277"/>
      <c r="I1277"/>
      <c r="J1277"/>
      <c r="K1277"/>
      <c r="L1277"/>
      <c r="M1277"/>
      <c r="N1277"/>
      <c r="O1277"/>
      <c r="P1277"/>
    </row>
    <row r="1278" spans="1:16" ht="15" customHeight="1" x14ac:dyDescent="0.2">
      <c r="A1278"/>
      <c r="B1278"/>
      <c r="C1278"/>
      <c r="H1278"/>
      <c r="I1278"/>
      <c r="J1278"/>
      <c r="K1278"/>
      <c r="L1278"/>
      <c r="M1278"/>
      <c r="N1278"/>
      <c r="O1278"/>
      <c r="P1278"/>
    </row>
    <row r="1279" spans="1:16" ht="15" customHeight="1" x14ac:dyDescent="0.2">
      <c r="A1279"/>
      <c r="B1279"/>
      <c r="C1279"/>
      <c r="H1279"/>
      <c r="I1279"/>
      <c r="J1279"/>
      <c r="K1279"/>
      <c r="L1279"/>
      <c r="M1279"/>
      <c r="N1279"/>
      <c r="O1279"/>
      <c r="P1279"/>
    </row>
    <row r="1280" spans="1:16" ht="15" customHeight="1" x14ac:dyDescent="0.2">
      <c r="A1280"/>
      <c r="B1280"/>
      <c r="C1280"/>
      <c r="H1280"/>
      <c r="I1280"/>
      <c r="J1280"/>
      <c r="K1280"/>
      <c r="L1280"/>
      <c r="M1280"/>
      <c r="N1280"/>
      <c r="O1280"/>
      <c r="P1280"/>
    </row>
    <row r="1281" spans="1:16" ht="15" customHeight="1" x14ac:dyDescent="0.2">
      <c r="A1281"/>
      <c r="B1281"/>
      <c r="C1281"/>
      <c r="H1281"/>
      <c r="I1281"/>
      <c r="J1281"/>
      <c r="K1281"/>
      <c r="L1281"/>
      <c r="M1281"/>
      <c r="N1281"/>
      <c r="O1281"/>
      <c r="P1281"/>
    </row>
    <row r="1282" spans="1:16" ht="15" customHeight="1" x14ac:dyDescent="0.2">
      <c r="A1282"/>
      <c r="B1282"/>
      <c r="C1282"/>
      <c r="H1282"/>
      <c r="I1282"/>
      <c r="J1282"/>
      <c r="K1282"/>
      <c r="L1282"/>
      <c r="M1282"/>
      <c r="N1282"/>
      <c r="O1282"/>
      <c r="P1282"/>
    </row>
    <row r="1283" spans="1:16" ht="15" customHeight="1" x14ac:dyDescent="0.2">
      <c r="A1283"/>
      <c r="B1283"/>
      <c r="C1283"/>
      <c r="H1283"/>
      <c r="I1283"/>
      <c r="J1283"/>
      <c r="K1283"/>
      <c r="L1283"/>
      <c r="M1283"/>
      <c r="N1283"/>
      <c r="O1283"/>
      <c r="P1283"/>
    </row>
    <row r="1284" spans="1:16" ht="15" customHeight="1" x14ac:dyDescent="0.2">
      <c r="A1284"/>
      <c r="B1284"/>
      <c r="C1284"/>
      <c r="H1284"/>
      <c r="I1284"/>
      <c r="J1284"/>
      <c r="K1284"/>
      <c r="L1284"/>
      <c r="M1284"/>
      <c r="N1284"/>
      <c r="O1284"/>
      <c r="P1284"/>
    </row>
    <row r="1285" spans="1:16" ht="15" customHeight="1" x14ac:dyDescent="0.2">
      <c r="A1285"/>
      <c r="B1285"/>
      <c r="C1285"/>
      <c r="H1285"/>
      <c r="I1285"/>
      <c r="J1285"/>
      <c r="K1285"/>
      <c r="L1285"/>
      <c r="M1285"/>
      <c r="N1285"/>
      <c r="O1285"/>
      <c r="P1285"/>
    </row>
    <row r="1286" spans="1:16" ht="15" customHeight="1" x14ac:dyDescent="0.2">
      <c r="A1286"/>
      <c r="B1286"/>
      <c r="C1286"/>
      <c r="H1286"/>
      <c r="I1286"/>
      <c r="J1286"/>
      <c r="K1286"/>
      <c r="L1286"/>
      <c r="M1286"/>
      <c r="N1286"/>
      <c r="O1286"/>
      <c r="P1286"/>
    </row>
    <row r="1287" spans="1:16" ht="15" customHeight="1" x14ac:dyDescent="0.2">
      <c r="A1287"/>
      <c r="B1287"/>
      <c r="C1287"/>
      <c r="H1287"/>
      <c r="I1287"/>
      <c r="J1287"/>
      <c r="K1287"/>
      <c r="L1287"/>
      <c r="M1287"/>
      <c r="N1287"/>
      <c r="O1287"/>
      <c r="P1287"/>
    </row>
    <row r="1288" spans="1:16" ht="15" customHeight="1" x14ac:dyDescent="0.2">
      <c r="A1288"/>
      <c r="B1288"/>
      <c r="C1288"/>
      <c r="H1288"/>
      <c r="I1288"/>
      <c r="J1288"/>
      <c r="K1288"/>
      <c r="L1288"/>
      <c r="M1288"/>
      <c r="N1288"/>
      <c r="O1288"/>
      <c r="P1288"/>
    </row>
    <row r="1289" spans="1:16" ht="15" customHeight="1" x14ac:dyDescent="0.2">
      <c r="A1289"/>
      <c r="B1289"/>
      <c r="C1289"/>
      <c r="H1289"/>
      <c r="I1289"/>
      <c r="J1289"/>
      <c r="K1289"/>
      <c r="L1289"/>
      <c r="M1289"/>
      <c r="N1289"/>
      <c r="O1289"/>
      <c r="P1289"/>
    </row>
    <row r="1290" spans="1:16" ht="15" customHeight="1" x14ac:dyDescent="0.2">
      <c r="A1290"/>
      <c r="B1290"/>
      <c r="C1290"/>
      <c r="H1290"/>
      <c r="I1290"/>
      <c r="J1290"/>
      <c r="K1290"/>
      <c r="L1290"/>
      <c r="M1290"/>
      <c r="N1290"/>
      <c r="O1290"/>
      <c r="P1290"/>
    </row>
    <row r="1291" spans="1:16" ht="15" customHeight="1" x14ac:dyDescent="0.2">
      <c r="A1291"/>
      <c r="B1291"/>
      <c r="C1291"/>
      <c r="H1291"/>
      <c r="I1291"/>
      <c r="J1291"/>
      <c r="K1291"/>
      <c r="L1291"/>
      <c r="M1291"/>
      <c r="N1291"/>
      <c r="O1291"/>
      <c r="P1291"/>
    </row>
    <row r="1292" spans="1:16" ht="15" customHeight="1" x14ac:dyDescent="0.2">
      <c r="A1292"/>
      <c r="B1292"/>
      <c r="C1292"/>
      <c r="H1292"/>
      <c r="I1292"/>
      <c r="J1292"/>
      <c r="K1292"/>
      <c r="L1292"/>
      <c r="M1292"/>
      <c r="N1292"/>
      <c r="O1292"/>
      <c r="P1292"/>
    </row>
    <row r="1293" spans="1:16" ht="15" customHeight="1" x14ac:dyDescent="0.2">
      <c r="A1293"/>
      <c r="B1293"/>
      <c r="C1293"/>
      <c r="H1293"/>
      <c r="I1293"/>
      <c r="J1293"/>
      <c r="K1293"/>
      <c r="L1293"/>
      <c r="M1293"/>
      <c r="N1293"/>
      <c r="O1293"/>
      <c r="P1293"/>
    </row>
    <row r="1294" spans="1:16" ht="15" customHeight="1" x14ac:dyDescent="0.2">
      <c r="A1294"/>
      <c r="B1294"/>
      <c r="C1294"/>
      <c r="H1294"/>
      <c r="I1294"/>
      <c r="J1294"/>
      <c r="K1294"/>
      <c r="L1294"/>
      <c r="M1294"/>
      <c r="N1294"/>
      <c r="O1294"/>
      <c r="P1294"/>
    </row>
    <row r="1295" spans="1:16" ht="15" customHeight="1" x14ac:dyDescent="0.2">
      <c r="A1295"/>
      <c r="B1295"/>
      <c r="C1295"/>
      <c r="H1295"/>
      <c r="I1295"/>
      <c r="J1295"/>
      <c r="K1295"/>
      <c r="L1295"/>
      <c r="M1295"/>
      <c r="N1295"/>
      <c r="O1295"/>
      <c r="P1295"/>
    </row>
    <row r="1296" spans="1:16" ht="15" customHeight="1" x14ac:dyDescent="0.2">
      <c r="A1296"/>
      <c r="B1296"/>
      <c r="C1296"/>
      <c r="H1296"/>
      <c r="I1296"/>
      <c r="J1296"/>
      <c r="K1296"/>
      <c r="L1296"/>
      <c r="M1296"/>
      <c r="N1296"/>
      <c r="O1296"/>
      <c r="P1296"/>
    </row>
    <row r="1297" spans="1:16" ht="15" customHeight="1" x14ac:dyDescent="0.2">
      <c r="A1297"/>
      <c r="B1297"/>
      <c r="C1297"/>
      <c r="H1297"/>
      <c r="I1297"/>
      <c r="J1297"/>
      <c r="K1297"/>
      <c r="L1297"/>
      <c r="M1297"/>
      <c r="N1297"/>
      <c r="O1297"/>
      <c r="P1297"/>
    </row>
    <row r="1298" spans="1:16" ht="15" customHeight="1" x14ac:dyDescent="0.2">
      <c r="A1298"/>
      <c r="B1298"/>
      <c r="C1298"/>
      <c r="H1298"/>
      <c r="I1298"/>
      <c r="J1298"/>
      <c r="K1298"/>
      <c r="L1298"/>
      <c r="M1298"/>
      <c r="N1298"/>
      <c r="O1298"/>
      <c r="P1298"/>
    </row>
    <row r="1299" spans="1:16" ht="15" customHeight="1" x14ac:dyDescent="0.2">
      <c r="A1299"/>
      <c r="B1299"/>
      <c r="C1299"/>
      <c r="H1299"/>
      <c r="I1299"/>
      <c r="J1299"/>
      <c r="K1299"/>
      <c r="L1299"/>
      <c r="M1299"/>
      <c r="N1299"/>
      <c r="O1299"/>
      <c r="P1299"/>
    </row>
    <row r="1300" spans="1:16" ht="30" customHeight="1" x14ac:dyDescent="0.2">
      <c r="A1300"/>
      <c r="B1300"/>
      <c r="C1300"/>
      <c r="H1300"/>
      <c r="I1300"/>
      <c r="J1300"/>
      <c r="K1300"/>
      <c r="L1300"/>
      <c r="M1300"/>
      <c r="N1300"/>
      <c r="O1300"/>
      <c r="P1300"/>
    </row>
    <row r="1301" spans="1:16" ht="13.5" customHeight="1" x14ac:dyDescent="0.2">
      <c r="A1301"/>
      <c r="B1301"/>
      <c r="C1301"/>
      <c r="H1301"/>
      <c r="I1301"/>
      <c r="J1301"/>
      <c r="K1301"/>
      <c r="L1301"/>
      <c r="M1301"/>
      <c r="N1301"/>
      <c r="O1301"/>
      <c r="P1301"/>
    </row>
    <row r="1302" spans="1:16" ht="31.5" customHeight="1" x14ac:dyDescent="0.2">
      <c r="A1302"/>
      <c r="B1302"/>
      <c r="C1302"/>
      <c r="H1302"/>
      <c r="I1302"/>
      <c r="J1302"/>
      <c r="K1302"/>
      <c r="L1302"/>
      <c r="M1302"/>
      <c r="N1302"/>
      <c r="O1302"/>
      <c r="P1302"/>
    </row>
    <row r="1303" spans="1:16" ht="45.75" customHeight="1" x14ac:dyDescent="0.2">
      <c r="A1303"/>
      <c r="B1303"/>
      <c r="C1303"/>
      <c r="H1303"/>
      <c r="I1303"/>
      <c r="J1303"/>
      <c r="K1303"/>
      <c r="L1303"/>
      <c r="M1303"/>
      <c r="N1303"/>
      <c r="O1303"/>
      <c r="P1303"/>
    </row>
    <row r="1304" spans="1:16" x14ac:dyDescent="0.2">
      <c r="A1304"/>
      <c r="B1304"/>
      <c r="C1304"/>
      <c r="H1304"/>
      <c r="I1304"/>
      <c r="J1304"/>
      <c r="K1304"/>
      <c r="L1304"/>
      <c r="M1304"/>
      <c r="N1304"/>
      <c r="O1304"/>
      <c r="P1304"/>
    </row>
    <row r="1305" spans="1:16" x14ac:dyDescent="0.2">
      <c r="A1305"/>
      <c r="B1305"/>
      <c r="C1305"/>
      <c r="H1305"/>
      <c r="I1305"/>
      <c r="J1305"/>
      <c r="K1305"/>
      <c r="L1305"/>
      <c r="M1305"/>
      <c r="N1305"/>
      <c r="O1305"/>
      <c r="P1305"/>
    </row>
    <row r="1306" spans="1:16" ht="12" customHeight="1" x14ac:dyDescent="0.2">
      <c r="A1306"/>
      <c r="B1306"/>
      <c r="C1306"/>
      <c r="H1306"/>
      <c r="I1306"/>
      <c r="J1306"/>
      <c r="K1306"/>
      <c r="L1306"/>
      <c r="M1306"/>
      <c r="N1306"/>
      <c r="O1306"/>
      <c r="P1306"/>
    </row>
    <row r="1307" spans="1:16" ht="12" customHeight="1" x14ac:dyDescent="0.2">
      <c r="A1307"/>
      <c r="B1307"/>
      <c r="C1307"/>
      <c r="H1307"/>
      <c r="I1307"/>
      <c r="J1307"/>
      <c r="K1307"/>
      <c r="L1307"/>
      <c r="M1307"/>
      <c r="N1307"/>
      <c r="O1307"/>
      <c r="P1307"/>
    </row>
    <row r="1308" spans="1:16" ht="12" customHeight="1" x14ac:dyDescent="0.2">
      <c r="A1308"/>
      <c r="B1308"/>
      <c r="C1308"/>
      <c r="H1308"/>
      <c r="I1308"/>
      <c r="J1308"/>
      <c r="K1308"/>
      <c r="L1308"/>
      <c r="M1308"/>
      <c r="N1308"/>
      <c r="O1308"/>
      <c r="P1308"/>
    </row>
    <row r="1309" spans="1:16" ht="12" customHeight="1" x14ac:dyDescent="0.2">
      <c r="A1309"/>
      <c r="B1309"/>
      <c r="C1309"/>
      <c r="H1309"/>
      <c r="I1309"/>
      <c r="J1309"/>
      <c r="K1309"/>
      <c r="L1309"/>
      <c r="M1309"/>
      <c r="N1309"/>
      <c r="O1309"/>
      <c r="P1309"/>
    </row>
    <row r="1310" spans="1:16" ht="12" customHeight="1" x14ac:dyDescent="0.2">
      <c r="A1310"/>
      <c r="B1310"/>
      <c r="C1310"/>
      <c r="H1310"/>
      <c r="I1310"/>
      <c r="J1310"/>
      <c r="K1310"/>
      <c r="L1310"/>
      <c r="M1310"/>
      <c r="N1310"/>
      <c r="O1310"/>
      <c r="P1310"/>
    </row>
    <row r="1311" spans="1:16" ht="12" customHeight="1" x14ac:dyDescent="0.2">
      <c r="A1311"/>
      <c r="B1311"/>
      <c r="C1311"/>
      <c r="H1311"/>
      <c r="I1311"/>
      <c r="J1311"/>
      <c r="K1311"/>
      <c r="L1311"/>
      <c r="M1311"/>
      <c r="N1311"/>
      <c r="O1311"/>
      <c r="P1311"/>
    </row>
    <row r="1312" spans="1:16" ht="12" customHeight="1" x14ac:dyDescent="0.2">
      <c r="A1312"/>
      <c r="B1312"/>
      <c r="C1312"/>
      <c r="H1312"/>
      <c r="I1312"/>
      <c r="J1312"/>
      <c r="K1312"/>
      <c r="L1312"/>
      <c r="M1312"/>
      <c r="N1312"/>
      <c r="O1312"/>
      <c r="P1312"/>
    </row>
    <row r="1313" spans="1:16" ht="12" customHeight="1" x14ac:dyDescent="0.2">
      <c r="A1313"/>
      <c r="B1313"/>
      <c r="C1313"/>
      <c r="H1313"/>
      <c r="I1313"/>
      <c r="J1313"/>
      <c r="K1313"/>
      <c r="L1313"/>
      <c r="M1313"/>
      <c r="N1313"/>
      <c r="O1313"/>
      <c r="P1313"/>
    </row>
    <row r="1314" spans="1:16" x14ac:dyDescent="0.2">
      <c r="A1314"/>
      <c r="B1314"/>
      <c r="C1314"/>
      <c r="H1314"/>
      <c r="I1314"/>
      <c r="J1314"/>
      <c r="K1314"/>
      <c r="L1314"/>
      <c r="M1314"/>
      <c r="N1314"/>
      <c r="O1314"/>
      <c r="P1314"/>
    </row>
    <row r="1315" spans="1:16" x14ac:dyDescent="0.2">
      <c r="A1315"/>
      <c r="B1315"/>
      <c r="C1315"/>
      <c r="H1315"/>
      <c r="I1315"/>
      <c r="J1315"/>
      <c r="K1315"/>
      <c r="L1315"/>
      <c r="M1315"/>
      <c r="N1315"/>
      <c r="O1315"/>
      <c r="P1315"/>
    </row>
    <row r="1316" spans="1:16" x14ac:dyDescent="0.2">
      <c r="A1316"/>
      <c r="B1316"/>
      <c r="C1316"/>
      <c r="H1316"/>
      <c r="I1316"/>
      <c r="J1316"/>
      <c r="K1316"/>
      <c r="L1316"/>
      <c r="M1316"/>
      <c r="N1316"/>
      <c r="O1316"/>
      <c r="P1316"/>
    </row>
    <row r="1317" spans="1:16" x14ac:dyDescent="0.2">
      <c r="A1317"/>
      <c r="B1317"/>
      <c r="C1317"/>
      <c r="H1317"/>
      <c r="I1317"/>
      <c r="J1317"/>
      <c r="K1317"/>
      <c r="L1317"/>
      <c r="M1317"/>
      <c r="N1317"/>
      <c r="O1317"/>
      <c r="P1317"/>
    </row>
    <row r="1318" spans="1:16" x14ac:dyDescent="0.2">
      <c r="A1318"/>
      <c r="B1318"/>
      <c r="C1318"/>
      <c r="H1318"/>
      <c r="I1318"/>
      <c r="J1318"/>
      <c r="K1318"/>
      <c r="L1318"/>
      <c r="M1318"/>
      <c r="N1318"/>
      <c r="O1318"/>
      <c r="P1318"/>
    </row>
    <row r="1319" spans="1:16" x14ac:dyDescent="0.2">
      <c r="A1319"/>
      <c r="B1319"/>
      <c r="C1319"/>
      <c r="H1319"/>
      <c r="I1319"/>
      <c r="J1319"/>
      <c r="K1319"/>
      <c r="L1319"/>
      <c r="M1319"/>
      <c r="N1319"/>
      <c r="O1319"/>
      <c r="P1319"/>
    </row>
    <row r="1320" spans="1:16" x14ac:dyDescent="0.2">
      <c r="A1320"/>
      <c r="B1320"/>
      <c r="C1320"/>
      <c r="H1320"/>
      <c r="I1320"/>
      <c r="J1320"/>
      <c r="K1320"/>
      <c r="L1320"/>
      <c r="M1320"/>
      <c r="N1320"/>
      <c r="O1320"/>
      <c r="P1320"/>
    </row>
    <row r="1321" spans="1:16" x14ac:dyDescent="0.2">
      <c r="A1321"/>
      <c r="B1321"/>
      <c r="C1321"/>
      <c r="H1321"/>
      <c r="I1321"/>
      <c r="J1321"/>
      <c r="K1321"/>
      <c r="L1321"/>
      <c r="M1321"/>
      <c r="N1321"/>
      <c r="O1321"/>
      <c r="P1321"/>
    </row>
    <row r="1322" spans="1:16" x14ac:dyDescent="0.2">
      <c r="A1322"/>
      <c r="B1322"/>
      <c r="C1322"/>
      <c r="H1322"/>
      <c r="I1322"/>
      <c r="J1322"/>
      <c r="K1322"/>
      <c r="L1322"/>
      <c r="M1322"/>
      <c r="N1322"/>
      <c r="O1322"/>
      <c r="P1322"/>
    </row>
    <row r="1323" spans="1:16" x14ac:dyDescent="0.2">
      <c r="A1323"/>
      <c r="B1323"/>
      <c r="C1323"/>
      <c r="H1323"/>
      <c r="I1323"/>
      <c r="J1323"/>
      <c r="K1323"/>
      <c r="L1323"/>
      <c r="M1323"/>
      <c r="N1323"/>
      <c r="O1323"/>
      <c r="P1323"/>
    </row>
    <row r="1324" spans="1:16" x14ac:dyDescent="0.2">
      <c r="A1324"/>
      <c r="B1324"/>
      <c r="C1324"/>
      <c r="H1324"/>
      <c r="I1324"/>
      <c r="J1324"/>
      <c r="K1324"/>
      <c r="L1324"/>
      <c r="M1324"/>
      <c r="N1324"/>
      <c r="O1324"/>
      <c r="P1324"/>
    </row>
    <row r="1325" spans="1:16" x14ac:dyDescent="0.2">
      <c r="A1325"/>
      <c r="B1325"/>
      <c r="C1325"/>
      <c r="H1325"/>
      <c r="I1325"/>
      <c r="J1325"/>
      <c r="K1325"/>
      <c r="L1325"/>
      <c r="M1325"/>
      <c r="N1325"/>
      <c r="O1325"/>
      <c r="P1325"/>
    </row>
    <row r="1326" spans="1:16" x14ac:dyDescent="0.2">
      <c r="A1326"/>
      <c r="B1326"/>
      <c r="C1326"/>
      <c r="H1326"/>
      <c r="I1326"/>
      <c r="J1326"/>
      <c r="K1326"/>
      <c r="L1326"/>
      <c r="M1326"/>
      <c r="N1326"/>
      <c r="O1326"/>
      <c r="P1326"/>
    </row>
    <row r="1327" spans="1:16" x14ac:dyDescent="0.2">
      <c r="A1327"/>
      <c r="B1327"/>
      <c r="C1327"/>
      <c r="H1327"/>
      <c r="I1327"/>
      <c r="J1327"/>
      <c r="K1327"/>
      <c r="L1327"/>
      <c r="M1327"/>
      <c r="N1327"/>
      <c r="O1327"/>
      <c r="P1327"/>
    </row>
    <row r="1328" spans="1:16" x14ac:dyDescent="0.2">
      <c r="A1328"/>
      <c r="B1328"/>
      <c r="C1328"/>
      <c r="H1328"/>
      <c r="I1328"/>
      <c r="J1328"/>
      <c r="K1328"/>
      <c r="L1328"/>
      <c r="M1328"/>
      <c r="N1328"/>
      <c r="O1328"/>
      <c r="P1328"/>
    </row>
    <row r="1329" spans="1:16" x14ac:dyDescent="0.2">
      <c r="A1329"/>
      <c r="B1329"/>
      <c r="C1329"/>
      <c r="H1329"/>
      <c r="I1329"/>
      <c r="J1329"/>
      <c r="K1329"/>
      <c r="L1329"/>
      <c r="M1329"/>
      <c r="N1329"/>
      <c r="O1329"/>
      <c r="P1329"/>
    </row>
    <row r="1330" spans="1:16" x14ac:dyDescent="0.2">
      <c r="A1330"/>
      <c r="B1330"/>
      <c r="C1330"/>
      <c r="H1330"/>
      <c r="I1330"/>
      <c r="J1330"/>
      <c r="K1330"/>
      <c r="L1330"/>
      <c r="M1330"/>
      <c r="N1330"/>
      <c r="O1330"/>
      <c r="P1330"/>
    </row>
    <row r="1331" spans="1:16" ht="12" customHeight="1" x14ac:dyDescent="0.2">
      <c r="A1331"/>
      <c r="B1331"/>
      <c r="C1331"/>
      <c r="H1331"/>
      <c r="I1331"/>
      <c r="J1331"/>
      <c r="K1331"/>
      <c r="L1331"/>
      <c r="M1331"/>
      <c r="N1331"/>
      <c r="O1331"/>
      <c r="P1331"/>
    </row>
    <row r="1332" spans="1:16" ht="12" customHeight="1" x14ac:dyDescent="0.2">
      <c r="A1332"/>
      <c r="B1332"/>
      <c r="C1332"/>
      <c r="H1332"/>
      <c r="I1332"/>
      <c r="J1332"/>
      <c r="K1332"/>
      <c r="L1332"/>
      <c r="M1332"/>
      <c r="N1332"/>
      <c r="O1332"/>
      <c r="P1332"/>
    </row>
    <row r="1333" spans="1:16" ht="12" customHeight="1" x14ac:dyDescent="0.2">
      <c r="A1333"/>
      <c r="B1333"/>
      <c r="C1333"/>
      <c r="H1333"/>
      <c r="I1333"/>
      <c r="J1333"/>
      <c r="K1333"/>
      <c r="L1333"/>
      <c r="M1333"/>
      <c r="N1333"/>
      <c r="O1333"/>
      <c r="P1333"/>
    </row>
    <row r="1334" spans="1:16" ht="12" customHeight="1" x14ac:dyDescent="0.2">
      <c r="A1334"/>
      <c r="B1334"/>
      <c r="C1334"/>
      <c r="H1334"/>
      <c r="I1334"/>
      <c r="J1334"/>
      <c r="K1334"/>
      <c r="L1334"/>
      <c r="M1334"/>
      <c r="N1334"/>
      <c r="O1334"/>
      <c r="P1334"/>
    </row>
    <row r="1335" spans="1:16" ht="12" customHeight="1" x14ac:dyDescent="0.2">
      <c r="A1335"/>
      <c r="B1335"/>
      <c r="C1335"/>
      <c r="H1335"/>
      <c r="I1335"/>
      <c r="J1335"/>
      <c r="K1335"/>
      <c r="L1335"/>
      <c r="M1335"/>
      <c r="N1335"/>
      <c r="O1335"/>
      <c r="P1335"/>
    </row>
    <row r="1336" spans="1:16" ht="12" customHeight="1" x14ac:dyDescent="0.2">
      <c r="A1336"/>
      <c r="B1336"/>
      <c r="C1336"/>
      <c r="H1336"/>
      <c r="I1336"/>
      <c r="J1336"/>
      <c r="K1336"/>
      <c r="L1336"/>
      <c r="M1336"/>
      <c r="N1336"/>
      <c r="O1336"/>
      <c r="P1336"/>
    </row>
    <row r="1337" spans="1:16" ht="12" customHeight="1" x14ac:dyDescent="0.2">
      <c r="A1337"/>
      <c r="B1337"/>
      <c r="C1337"/>
      <c r="H1337"/>
      <c r="I1337"/>
      <c r="J1337"/>
      <c r="K1337"/>
      <c r="L1337"/>
      <c r="M1337"/>
      <c r="N1337"/>
      <c r="O1337"/>
      <c r="P1337"/>
    </row>
    <row r="1338" spans="1:16" x14ac:dyDescent="0.2">
      <c r="A1338"/>
      <c r="B1338"/>
      <c r="C1338"/>
      <c r="H1338"/>
      <c r="I1338"/>
      <c r="J1338"/>
      <c r="K1338"/>
      <c r="L1338"/>
      <c r="M1338"/>
      <c r="N1338"/>
      <c r="O1338"/>
      <c r="P1338"/>
    </row>
    <row r="1339" spans="1:16" x14ac:dyDescent="0.2">
      <c r="A1339"/>
      <c r="B1339"/>
      <c r="C1339"/>
      <c r="H1339"/>
      <c r="I1339"/>
      <c r="J1339"/>
      <c r="K1339"/>
      <c r="L1339"/>
      <c r="M1339"/>
      <c r="N1339"/>
      <c r="O1339"/>
      <c r="P1339"/>
    </row>
    <row r="1340" spans="1:16" ht="12" customHeight="1" x14ac:dyDescent="0.2">
      <c r="A1340"/>
      <c r="B1340"/>
      <c r="C1340"/>
      <c r="H1340"/>
      <c r="I1340"/>
      <c r="J1340"/>
      <c r="K1340"/>
      <c r="L1340"/>
      <c r="M1340"/>
      <c r="N1340"/>
      <c r="O1340"/>
      <c r="P1340"/>
    </row>
    <row r="1341" spans="1:16" ht="12" customHeight="1" x14ac:dyDescent="0.2">
      <c r="A1341"/>
      <c r="B1341"/>
      <c r="C1341"/>
      <c r="H1341"/>
      <c r="I1341"/>
      <c r="J1341"/>
      <c r="K1341"/>
      <c r="L1341"/>
      <c r="M1341"/>
      <c r="N1341"/>
      <c r="O1341"/>
      <c r="P1341"/>
    </row>
    <row r="1342" spans="1:16" ht="12" customHeight="1" x14ac:dyDescent="0.2">
      <c r="A1342"/>
      <c r="B1342"/>
      <c r="C1342"/>
      <c r="H1342"/>
      <c r="I1342"/>
      <c r="J1342"/>
      <c r="K1342"/>
      <c r="L1342"/>
      <c r="M1342"/>
      <c r="N1342"/>
      <c r="O1342"/>
      <c r="P1342"/>
    </row>
    <row r="1343" spans="1:16" ht="12" customHeight="1" x14ac:dyDescent="0.2">
      <c r="A1343"/>
      <c r="B1343"/>
      <c r="C1343"/>
      <c r="H1343"/>
      <c r="I1343"/>
      <c r="J1343"/>
      <c r="K1343"/>
      <c r="L1343"/>
      <c r="M1343"/>
      <c r="N1343"/>
      <c r="O1343"/>
      <c r="P1343"/>
    </row>
    <row r="1344" spans="1:16" ht="12" customHeight="1" x14ac:dyDescent="0.2">
      <c r="A1344"/>
      <c r="B1344"/>
      <c r="C1344"/>
      <c r="H1344"/>
      <c r="I1344"/>
      <c r="J1344"/>
      <c r="K1344"/>
      <c r="L1344"/>
      <c r="M1344"/>
      <c r="N1344"/>
      <c r="O1344"/>
      <c r="P1344"/>
    </row>
    <row r="1345" spans="1:16" ht="12" customHeight="1" x14ac:dyDescent="0.2">
      <c r="A1345"/>
      <c r="B1345"/>
      <c r="C1345"/>
      <c r="H1345"/>
      <c r="I1345"/>
      <c r="J1345"/>
      <c r="K1345"/>
      <c r="L1345"/>
      <c r="M1345"/>
      <c r="N1345"/>
      <c r="O1345"/>
      <c r="P1345"/>
    </row>
    <row r="1346" spans="1:16" ht="12" customHeight="1" x14ac:dyDescent="0.2">
      <c r="A1346"/>
      <c r="B1346"/>
      <c r="C1346"/>
      <c r="H1346"/>
      <c r="I1346"/>
      <c r="J1346"/>
      <c r="K1346"/>
      <c r="L1346"/>
      <c r="M1346"/>
      <c r="N1346"/>
      <c r="O1346"/>
      <c r="P1346"/>
    </row>
    <row r="1347" spans="1:16" ht="12" customHeight="1" x14ac:dyDescent="0.2">
      <c r="A1347"/>
      <c r="B1347"/>
      <c r="C1347"/>
      <c r="H1347"/>
      <c r="I1347"/>
      <c r="J1347"/>
      <c r="K1347"/>
      <c r="L1347"/>
      <c r="M1347"/>
      <c r="N1347"/>
      <c r="O1347"/>
      <c r="P1347"/>
    </row>
    <row r="1348" spans="1:16" ht="12" customHeight="1" x14ac:dyDescent="0.2">
      <c r="A1348"/>
      <c r="B1348"/>
      <c r="C1348"/>
      <c r="H1348"/>
      <c r="I1348"/>
      <c r="J1348"/>
      <c r="K1348"/>
      <c r="L1348"/>
      <c r="M1348"/>
      <c r="N1348"/>
      <c r="O1348"/>
      <c r="P1348"/>
    </row>
    <row r="1349" spans="1:16" ht="12" customHeight="1" x14ac:dyDescent="0.2">
      <c r="A1349"/>
      <c r="B1349"/>
      <c r="C1349"/>
      <c r="H1349"/>
      <c r="I1349"/>
      <c r="J1349"/>
      <c r="K1349"/>
      <c r="L1349"/>
      <c r="M1349"/>
      <c r="N1349"/>
      <c r="O1349"/>
      <c r="P1349"/>
    </row>
    <row r="1350" spans="1:16" ht="12" customHeight="1" x14ac:dyDescent="0.2">
      <c r="A1350"/>
      <c r="B1350"/>
      <c r="C1350"/>
      <c r="H1350"/>
      <c r="I1350"/>
      <c r="J1350"/>
      <c r="K1350"/>
      <c r="L1350"/>
      <c r="M1350"/>
      <c r="N1350"/>
      <c r="O1350"/>
      <c r="P1350"/>
    </row>
    <row r="1351" spans="1:16" ht="12" customHeight="1" x14ac:dyDescent="0.2">
      <c r="A1351"/>
      <c r="B1351"/>
      <c r="C1351"/>
      <c r="H1351"/>
      <c r="I1351"/>
      <c r="J1351"/>
      <c r="K1351"/>
      <c r="L1351"/>
      <c r="M1351"/>
      <c r="N1351"/>
      <c r="O1351"/>
      <c r="P1351"/>
    </row>
    <row r="1352" spans="1:16" ht="12" customHeight="1" x14ac:dyDescent="0.2">
      <c r="A1352"/>
      <c r="B1352"/>
      <c r="C1352"/>
      <c r="H1352"/>
      <c r="I1352"/>
      <c r="J1352"/>
      <c r="K1352"/>
      <c r="L1352"/>
      <c r="M1352"/>
      <c r="N1352"/>
      <c r="O1352"/>
      <c r="P1352"/>
    </row>
    <row r="1353" spans="1:16" ht="12" customHeight="1" x14ac:dyDescent="0.2">
      <c r="A1353"/>
      <c r="B1353"/>
      <c r="C1353"/>
      <c r="H1353"/>
      <c r="I1353"/>
      <c r="J1353"/>
      <c r="K1353"/>
      <c r="L1353"/>
      <c r="M1353"/>
      <c r="N1353"/>
      <c r="O1353"/>
      <c r="P1353"/>
    </row>
    <row r="1354" spans="1:16" ht="12" customHeight="1" x14ac:dyDescent="0.2">
      <c r="A1354"/>
      <c r="B1354"/>
      <c r="C1354"/>
      <c r="H1354"/>
      <c r="I1354"/>
      <c r="J1354"/>
      <c r="K1354"/>
      <c r="L1354"/>
      <c r="M1354"/>
      <c r="N1354"/>
      <c r="O1354"/>
      <c r="P1354"/>
    </row>
    <row r="1355" spans="1:16" ht="12" customHeight="1" x14ac:dyDescent="0.2">
      <c r="A1355"/>
      <c r="B1355"/>
      <c r="C1355"/>
      <c r="H1355"/>
      <c r="I1355"/>
      <c r="J1355"/>
      <c r="K1355"/>
      <c r="L1355"/>
      <c r="M1355"/>
      <c r="N1355"/>
      <c r="O1355"/>
      <c r="P1355"/>
    </row>
    <row r="1356" spans="1:16" ht="12" customHeight="1" x14ac:dyDescent="0.2">
      <c r="A1356"/>
      <c r="B1356"/>
      <c r="C1356"/>
      <c r="H1356"/>
      <c r="I1356"/>
      <c r="J1356"/>
      <c r="K1356"/>
      <c r="L1356"/>
      <c r="M1356"/>
      <c r="N1356"/>
      <c r="O1356"/>
      <c r="P1356"/>
    </row>
    <row r="1357" spans="1:16" ht="12" customHeight="1" x14ac:dyDescent="0.2">
      <c r="A1357"/>
      <c r="B1357"/>
      <c r="C1357"/>
      <c r="H1357"/>
      <c r="I1357"/>
      <c r="J1357"/>
      <c r="K1357"/>
      <c r="L1357"/>
      <c r="M1357"/>
      <c r="N1357"/>
      <c r="O1357"/>
      <c r="P1357"/>
    </row>
    <row r="1358" spans="1:16" ht="12" customHeight="1" x14ac:dyDescent="0.2">
      <c r="A1358"/>
      <c r="B1358"/>
      <c r="C1358"/>
      <c r="H1358"/>
      <c r="I1358"/>
      <c r="J1358"/>
      <c r="K1358"/>
      <c r="L1358"/>
      <c r="M1358"/>
      <c r="N1358"/>
      <c r="O1358"/>
      <c r="P1358"/>
    </row>
    <row r="1359" spans="1:16" ht="12" customHeight="1" x14ac:dyDescent="0.2">
      <c r="A1359"/>
      <c r="B1359"/>
      <c r="C1359"/>
      <c r="H1359"/>
      <c r="I1359"/>
      <c r="J1359"/>
      <c r="K1359"/>
      <c r="L1359"/>
      <c r="M1359"/>
      <c r="N1359"/>
      <c r="O1359"/>
      <c r="P1359"/>
    </row>
    <row r="1360" spans="1:16" ht="12" customHeight="1" x14ac:dyDescent="0.2">
      <c r="A1360"/>
      <c r="B1360"/>
      <c r="C1360"/>
      <c r="H1360"/>
      <c r="I1360"/>
      <c r="J1360"/>
      <c r="K1360"/>
      <c r="L1360"/>
      <c r="M1360"/>
      <c r="N1360"/>
      <c r="O1360"/>
      <c r="P1360"/>
    </row>
    <row r="1361" spans="1:16" ht="12" customHeight="1" x14ac:dyDescent="0.2">
      <c r="A1361"/>
      <c r="B1361"/>
      <c r="C1361"/>
      <c r="H1361"/>
      <c r="I1361"/>
      <c r="J1361"/>
      <c r="K1361"/>
      <c r="L1361"/>
      <c r="M1361"/>
      <c r="N1361"/>
      <c r="O1361"/>
      <c r="P1361"/>
    </row>
    <row r="1362" spans="1:16" ht="12" customHeight="1" x14ac:dyDescent="0.2">
      <c r="A1362"/>
      <c r="B1362"/>
      <c r="C1362"/>
      <c r="H1362"/>
      <c r="I1362"/>
      <c r="J1362"/>
      <c r="K1362"/>
      <c r="L1362"/>
      <c r="M1362"/>
      <c r="N1362"/>
      <c r="O1362"/>
      <c r="P1362"/>
    </row>
    <row r="1363" spans="1:16" ht="12" customHeight="1" x14ac:dyDescent="0.2">
      <c r="A1363"/>
      <c r="B1363"/>
      <c r="C1363"/>
      <c r="H1363"/>
      <c r="I1363"/>
      <c r="J1363"/>
      <c r="K1363"/>
      <c r="L1363"/>
      <c r="M1363"/>
      <c r="N1363"/>
      <c r="O1363"/>
      <c r="P1363"/>
    </row>
    <row r="1364" spans="1:16" ht="12" customHeight="1" x14ac:dyDescent="0.2">
      <c r="A1364"/>
      <c r="B1364"/>
      <c r="C1364"/>
      <c r="H1364"/>
      <c r="I1364"/>
      <c r="J1364"/>
      <c r="K1364"/>
      <c r="L1364"/>
      <c r="M1364"/>
      <c r="N1364"/>
      <c r="O1364"/>
      <c r="P1364"/>
    </row>
    <row r="1365" spans="1:16" ht="12" customHeight="1" x14ac:dyDescent="0.2">
      <c r="A1365"/>
      <c r="B1365"/>
      <c r="C1365"/>
      <c r="H1365"/>
      <c r="I1365"/>
      <c r="J1365"/>
      <c r="K1365"/>
      <c r="L1365"/>
      <c r="M1365"/>
      <c r="N1365"/>
      <c r="O1365"/>
      <c r="P1365"/>
    </row>
    <row r="1366" spans="1:16" ht="12" customHeight="1" x14ac:dyDescent="0.2">
      <c r="A1366"/>
      <c r="B1366"/>
      <c r="C1366"/>
      <c r="H1366"/>
      <c r="I1366"/>
      <c r="J1366"/>
      <c r="K1366"/>
      <c r="L1366"/>
      <c r="M1366"/>
      <c r="N1366"/>
      <c r="O1366"/>
      <c r="P1366"/>
    </row>
    <row r="1367" spans="1:16" ht="12" customHeight="1" x14ac:dyDescent="0.2">
      <c r="A1367"/>
      <c r="B1367"/>
      <c r="C1367"/>
      <c r="H1367"/>
      <c r="I1367"/>
      <c r="J1367"/>
      <c r="K1367"/>
      <c r="L1367"/>
      <c r="M1367"/>
      <c r="N1367"/>
      <c r="O1367"/>
      <c r="P1367"/>
    </row>
    <row r="1368" spans="1:16" ht="12" customHeight="1" x14ac:dyDescent="0.2">
      <c r="A1368"/>
      <c r="B1368"/>
      <c r="C1368"/>
      <c r="H1368"/>
      <c r="I1368"/>
      <c r="J1368"/>
      <c r="K1368"/>
      <c r="L1368"/>
      <c r="M1368"/>
      <c r="N1368"/>
      <c r="O1368"/>
      <c r="P1368"/>
    </row>
    <row r="1369" spans="1:16" ht="12" customHeight="1" x14ac:dyDescent="0.2">
      <c r="A1369"/>
      <c r="B1369"/>
      <c r="C1369"/>
      <c r="H1369"/>
      <c r="I1369"/>
      <c r="J1369"/>
      <c r="K1369"/>
      <c r="L1369"/>
      <c r="M1369"/>
      <c r="N1369"/>
      <c r="O1369"/>
      <c r="P1369"/>
    </row>
    <row r="1370" spans="1:16" ht="12" customHeight="1" x14ac:dyDescent="0.2">
      <c r="A1370"/>
      <c r="B1370"/>
      <c r="C1370"/>
      <c r="H1370"/>
      <c r="I1370"/>
      <c r="J1370"/>
      <c r="K1370"/>
      <c r="L1370"/>
      <c r="M1370"/>
      <c r="N1370"/>
      <c r="O1370"/>
      <c r="P1370"/>
    </row>
    <row r="1371" spans="1:16" ht="12" customHeight="1" x14ac:dyDescent="0.2">
      <c r="A1371"/>
      <c r="B1371"/>
      <c r="C1371"/>
      <c r="H1371"/>
      <c r="I1371"/>
      <c r="J1371"/>
      <c r="K1371"/>
      <c r="L1371"/>
      <c r="M1371"/>
      <c r="N1371"/>
      <c r="O1371"/>
      <c r="P1371"/>
    </row>
    <row r="1372" spans="1:16" ht="12" customHeight="1" x14ac:dyDescent="0.2">
      <c r="A1372"/>
      <c r="B1372"/>
      <c r="C1372"/>
      <c r="H1372"/>
      <c r="I1372"/>
      <c r="J1372"/>
      <c r="K1372"/>
      <c r="L1372"/>
      <c r="M1372"/>
      <c r="N1372"/>
      <c r="O1372"/>
      <c r="P1372"/>
    </row>
    <row r="1373" spans="1:16" ht="12" customHeight="1" x14ac:dyDescent="0.2">
      <c r="A1373"/>
      <c r="B1373"/>
      <c r="C1373"/>
      <c r="H1373"/>
      <c r="I1373"/>
      <c r="J1373"/>
      <c r="K1373"/>
      <c r="L1373"/>
      <c r="M1373"/>
      <c r="N1373"/>
      <c r="O1373"/>
      <c r="P1373"/>
    </row>
    <row r="1374" spans="1:16" ht="12" customHeight="1" x14ac:dyDescent="0.2">
      <c r="A1374"/>
      <c r="B1374"/>
      <c r="C1374"/>
      <c r="H1374"/>
      <c r="I1374"/>
      <c r="J1374"/>
      <c r="K1374"/>
      <c r="L1374"/>
      <c r="M1374"/>
      <c r="N1374"/>
      <c r="O1374"/>
      <c r="P1374"/>
    </row>
    <row r="1375" spans="1:16" ht="12" customHeight="1" x14ac:dyDescent="0.2">
      <c r="A1375"/>
      <c r="B1375"/>
      <c r="C1375"/>
      <c r="H1375"/>
      <c r="I1375"/>
      <c r="J1375"/>
      <c r="K1375"/>
      <c r="L1375"/>
      <c r="M1375"/>
      <c r="N1375"/>
      <c r="O1375"/>
      <c r="P1375"/>
    </row>
    <row r="1376" spans="1:16" ht="12" customHeight="1" x14ac:dyDescent="0.2">
      <c r="A1376"/>
      <c r="B1376"/>
      <c r="C1376"/>
      <c r="H1376"/>
      <c r="I1376"/>
      <c r="J1376"/>
      <c r="K1376"/>
      <c r="L1376"/>
      <c r="M1376"/>
      <c r="N1376"/>
      <c r="O1376"/>
      <c r="P1376"/>
    </row>
    <row r="1377" spans="1:16" x14ac:dyDescent="0.2">
      <c r="A1377"/>
      <c r="B1377"/>
      <c r="C1377"/>
      <c r="H1377"/>
      <c r="I1377"/>
      <c r="J1377"/>
      <c r="K1377"/>
      <c r="L1377"/>
      <c r="M1377"/>
      <c r="N1377"/>
      <c r="O1377"/>
      <c r="P1377"/>
    </row>
    <row r="1378" spans="1:16" ht="12" customHeight="1" x14ac:dyDescent="0.2">
      <c r="A1378"/>
      <c r="B1378"/>
      <c r="C1378"/>
      <c r="H1378"/>
      <c r="I1378"/>
      <c r="J1378"/>
      <c r="K1378"/>
      <c r="L1378"/>
      <c r="M1378"/>
      <c r="N1378"/>
      <c r="O1378"/>
      <c r="P1378"/>
    </row>
    <row r="1379" spans="1:16" ht="12" customHeight="1" x14ac:dyDescent="0.2">
      <c r="A1379"/>
      <c r="B1379"/>
      <c r="C1379"/>
      <c r="H1379"/>
      <c r="I1379"/>
      <c r="J1379"/>
      <c r="K1379"/>
      <c r="L1379"/>
      <c r="M1379"/>
      <c r="N1379"/>
      <c r="O1379"/>
      <c r="P1379"/>
    </row>
    <row r="1380" spans="1:16" ht="12" customHeight="1" x14ac:dyDescent="0.2">
      <c r="A1380"/>
      <c r="B1380"/>
      <c r="C1380"/>
      <c r="H1380"/>
      <c r="I1380"/>
      <c r="J1380"/>
      <c r="K1380"/>
      <c r="L1380"/>
      <c r="M1380"/>
      <c r="N1380"/>
      <c r="O1380"/>
      <c r="P1380"/>
    </row>
    <row r="1381" spans="1:16" ht="12" customHeight="1" x14ac:dyDescent="0.2">
      <c r="A1381"/>
      <c r="B1381"/>
      <c r="C1381"/>
      <c r="H1381"/>
      <c r="I1381"/>
      <c r="J1381"/>
      <c r="K1381"/>
      <c r="L1381"/>
      <c r="M1381"/>
      <c r="N1381"/>
      <c r="O1381"/>
      <c r="P1381"/>
    </row>
    <row r="1382" spans="1:16" ht="12" customHeight="1" x14ac:dyDescent="0.2">
      <c r="A1382"/>
      <c r="B1382"/>
      <c r="C1382"/>
      <c r="H1382"/>
      <c r="I1382"/>
      <c r="J1382"/>
      <c r="K1382"/>
      <c r="L1382"/>
      <c r="M1382"/>
      <c r="N1382"/>
      <c r="O1382"/>
      <c r="P1382"/>
    </row>
    <row r="1383" spans="1:16" ht="12" customHeight="1" x14ac:dyDescent="0.2">
      <c r="A1383"/>
      <c r="B1383"/>
      <c r="C1383"/>
      <c r="H1383"/>
      <c r="I1383"/>
      <c r="J1383"/>
      <c r="K1383"/>
      <c r="L1383"/>
      <c r="M1383"/>
      <c r="N1383"/>
      <c r="O1383"/>
      <c r="P1383"/>
    </row>
    <row r="1384" spans="1:16" ht="12" customHeight="1" x14ac:dyDescent="0.2">
      <c r="A1384"/>
      <c r="B1384"/>
      <c r="C1384"/>
      <c r="H1384"/>
      <c r="I1384"/>
      <c r="J1384"/>
      <c r="K1384"/>
      <c r="L1384"/>
      <c r="M1384"/>
      <c r="N1384"/>
      <c r="O1384"/>
      <c r="P1384"/>
    </row>
    <row r="1385" spans="1:16" ht="12" customHeight="1" x14ac:dyDescent="0.2">
      <c r="A1385"/>
      <c r="B1385"/>
      <c r="C1385"/>
      <c r="H1385"/>
      <c r="I1385"/>
      <c r="J1385"/>
      <c r="K1385"/>
      <c r="L1385"/>
      <c r="M1385"/>
      <c r="N1385"/>
      <c r="O1385"/>
      <c r="P1385"/>
    </row>
    <row r="1386" spans="1:16" ht="12" customHeight="1" x14ac:dyDescent="0.2">
      <c r="A1386"/>
      <c r="B1386"/>
      <c r="C1386"/>
      <c r="H1386"/>
      <c r="I1386"/>
      <c r="J1386"/>
      <c r="K1386"/>
      <c r="L1386"/>
      <c r="M1386"/>
      <c r="N1386"/>
      <c r="O1386"/>
      <c r="P1386"/>
    </row>
    <row r="1387" spans="1:16" ht="12" customHeight="1" x14ac:dyDescent="0.2">
      <c r="A1387"/>
      <c r="B1387"/>
      <c r="C1387"/>
      <c r="H1387"/>
      <c r="I1387"/>
      <c r="J1387"/>
      <c r="K1387"/>
      <c r="L1387"/>
      <c r="M1387"/>
      <c r="N1387"/>
      <c r="O1387"/>
      <c r="P1387"/>
    </row>
    <row r="1388" spans="1:16" ht="12" customHeight="1" x14ac:dyDescent="0.2">
      <c r="A1388"/>
      <c r="B1388"/>
      <c r="C1388"/>
      <c r="H1388"/>
      <c r="I1388"/>
      <c r="J1388"/>
      <c r="K1388"/>
      <c r="L1388"/>
      <c r="M1388"/>
      <c r="N1388"/>
      <c r="O1388"/>
      <c r="P1388"/>
    </row>
    <row r="1389" spans="1:16" ht="12" customHeight="1" x14ac:dyDescent="0.2">
      <c r="A1389"/>
      <c r="B1389"/>
      <c r="C1389"/>
      <c r="H1389"/>
      <c r="I1389"/>
      <c r="J1389"/>
      <c r="K1389"/>
      <c r="L1389"/>
      <c r="M1389"/>
      <c r="N1389"/>
      <c r="O1389"/>
      <c r="P1389"/>
    </row>
    <row r="1390" spans="1:16" ht="12" customHeight="1" x14ac:dyDescent="0.2">
      <c r="A1390"/>
      <c r="B1390"/>
      <c r="C1390"/>
      <c r="H1390"/>
      <c r="I1390"/>
      <c r="J1390"/>
      <c r="K1390"/>
      <c r="L1390"/>
      <c r="M1390"/>
      <c r="N1390"/>
      <c r="O1390"/>
      <c r="P1390"/>
    </row>
    <row r="1391" spans="1:16" ht="12" customHeight="1" x14ac:dyDescent="0.2">
      <c r="A1391"/>
      <c r="B1391"/>
      <c r="C1391"/>
      <c r="H1391"/>
      <c r="I1391"/>
      <c r="J1391"/>
      <c r="K1391"/>
      <c r="L1391"/>
      <c r="M1391"/>
      <c r="N1391"/>
      <c r="O1391"/>
      <c r="P1391"/>
    </row>
    <row r="1392" spans="1:16" x14ac:dyDescent="0.2">
      <c r="A1392"/>
      <c r="B1392"/>
      <c r="C1392"/>
      <c r="H1392"/>
      <c r="I1392"/>
      <c r="J1392"/>
      <c r="K1392"/>
      <c r="L1392"/>
      <c r="M1392"/>
      <c r="N1392"/>
      <c r="O1392"/>
      <c r="P1392"/>
    </row>
    <row r="1393" spans="1:16" x14ac:dyDescent="0.2">
      <c r="A1393"/>
      <c r="B1393"/>
      <c r="C1393"/>
      <c r="H1393"/>
      <c r="I1393"/>
      <c r="J1393"/>
      <c r="K1393"/>
      <c r="L1393"/>
      <c r="M1393"/>
      <c r="N1393"/>
      <c r="O1393"/>
      <c r="P1393"/>
    </row>
    <row r="1394" spans="1:16" ht="12" customHeight="1" x14ac:dyDescent="0.2">
      <c r="A1394"/>
      <c r="B1394"/>
      <c r="C1394"/>
      <c r="H1394"/>
      <c r="I1394"/>
      <c r="J1394"/>
      <c r="K1394"/>
      <c r="L1394"/>
      <c r="M1394"/>
      <c r="N1394"/>
      <c r="O1394"/>
      <c r="P1394"/>
    </row>
    <row r="1395" spans="1:16" ht="12" customHeight="1" x14ac:dyDescent="0.2">
      <c r="A1395"/>
      <c r="B1395"/>
      <c r="C1395"/>
      <c r="H1395"/>
      <c r="I1395"/>
      <c r="J1395"/>
      <c r="K1395"/>
      <c r="L1395"/>
      <c r="M1395"/>
      <c r="N1395"/>
      <c r="O1395"/>
      <c r="P1395"/>
    </row>
    <row r="1396" spans="1:16" ht="12" customHeight="1" x14ac:dyDescent="0.2">
      <c r="A1396"/>
      <c r="B1396"/>
      <c r="C1396"/>
      <c r="H1396"/>
      <c r="I1396"/>
      <c r="J1396"/>
      <c r="K1396"/>
      <c r="L1396"/>
      <c r="M1396"/>
      <c r="N1396"/>
      <c r="O1396"/>
      <c r="P1396"/>
    </row>
    <row r="1397" spans="1:16" ht="12" customHeight="1" x14ac:dyDescent="0.2">
      <c r="A1397"/>
      <c r="B1397"/>
      <c r="C1397"/>
      <c r="H1397"/>
      <c r="I1397"/>
      <c r="J1397"/>
      <c r="K1397"/>
      <c r="L1397"/>
      <c r="M1397"/>
      <c r="N1397"/>
      <c r="O1397"/>
      <c r="P1397"/>
    </row>
    <row r="1398" spans="1:16" ht="12" customHeight="1" x14ac:dyDescent="0.2">
      <c r="A1398"/>
      <c r="B1398"/>
      <c r="C1398"/>
      <c r="H1398"/>
      <c r="I1398"/>
      <c r="J1398"/>
      <c r="K1398"/>
      <c r="L1398"/>
      <c r="M1398"/>
      <c r="N1398"/>
      <c r="O1398"/>
      <c r="P1398"/>
    </row>
    <row r="1399" spans="1:16" ht="12" customHeight="1" x14ac:dyDescent="0.2">
      <c r="A1399"/>
      <c r="B1399"/>
      <c r="C1399"/>
      <c r="H1399"/>
      <c r="I1399"/>
      <c r="J1399"/>
      <c r="K1399"/>
      <c r="L1399"/>
      <c r="M1399"/>
      <c r="N1399"/>
      <c r="O1399"/>
      <c r="P1399"/>
    </row>
    <row r="1400" spans="1:16" ht="12" customHeight="1" x14ac:dyDescent="0.2">
      <c r="A1400"/>
      <c r="B1400"/>
      <c r="C1400"/>
      <c r="H1400"/>
      <c r="I1400"/>
      <c r="J1400"/>
      <c r="K1400"/>
      <c r="L1400"/>
      <c r="M1400"/>
      <c r="N1400"/>
      <c r="O1400"/>
      <c r="P1400"/>
    </row>
    <row r="1401" spans="1:16" ht="12" customHeight="1" x14ac:dyDescent="0.2">
      <c r="A1401"/>
      <c r="B1401"/>
      <c r="C1401"/>
      <c r="H1401"/>
      <c r="I1401"/>
      <c r="J1401"/>
      <c r="K1401"/>
      <c r="L1401"/>
      <c r="M1401"/>
      <c r="N1401"/>
      <c r="O1401"/>
      <c r="P1401"/>
    </row>
    <row r="1402" spans="1:16" x14ac:dyDescent="0.2">
      <c r="A1402"/>
      <c r="B1402"/>
      <c r="C1402"/>
      <c r="H1402"/>
      <c r="I1402"/>
      <c r="J1402"/>
      <c r="K1402"/>
      <c r="L1402"/>
      <c r="M1402"/>
      <c r="N1402"/>
      <c r="O1402"/>
      <c r="P1402"/>
    </row>
    <row r="1403" spans="1:16" x14ac:dyDescent="0.2">
      <c r="A1403"/>
      <c r="B1403"/>
      <c r="C1403"/>
      <c r="H1403"/>
      <c r="I1403"/>
      <c r="J1403"/>
      <c r="K1403"/>
      <c r="L1403"/>
      <c r="M1403"/>
      <c r="N1403"/>
      <c r="O1403"/>
      <c r="P1403"/>
    </row>
    <row r="1404" spans="1:16" x14ac:dyDescent="0.2">
      <c r="A1404"/>
      <c r="B1404"/>
      <c r="C1404"/>
      <c r="H1404"/>
      <c r="I1404"/>
      <c r="J1404"/>
      <c r="K1404"/>
      <c r="L1404"/>
      <c r="M1404"/>
      <c r="N1404"/>
      <c r="O1404"/>
      <c r="P1404"/>
    </row>
    <row r="1405" spans="1:16" x14ac:dyDescent="0.2">
      <c r="A1405"/>
      <c r="B1405"/>
      <c r="C1405"/>
      <c r="H1405"/>
      <c r="I1405"/>
      <c r="J1405"/>
      <c r="K1405"/>
      <c r="L1405"/>
      <c r="M1405"/>
      <c r="N1405"/>
      <c r="O1405"/>
      <c r="P1405"/>
    </row>
    <row r="1406" spans="1:16" x14ac:dyDescent="0.2">
      <c r="A1406"/>
      <c r="B1406"/>
      <c r="C1406"/>
      <c r="H1406"/>
      <c r="I1406"/>
      <c r="J1406"/>
      <c r="K1406"/>
      <c r="L1406"/>
      <c r="M1406"/>
      <c r="N1406"/>
      <c r="O1406"/>
      <c r="P1406"/>
    </row>
    <row r="1407" spans="1:16" ht="12" customHeight="1" x14ac:dyDescent="0.2">
      <c r="A1407"/>
      <c r="B1407"/>
      <c r="C1407"/>
      <c r="H1407"/>
      <c r="I1407"/>
      <c r="J1407"/>
      <c r="K1407"/>
      <c r="L1407"/>
      <c r="M1407"/>
      <c r="N1407"/>
      <c r="O1407"/>
      <c r="P1407"/>
    </row>
    <row r="1408" spans="1:16" ht="12" customHeight="1" x14ac:dyDescent="0.2">
      <c r="A1408"/>
      <c r="B1408"/>
      <c r="C1408"/>
      <c r="H1408"/>
      <c r="I1408"/>
      <c r="J1408"/>
      <c r="K1408"/>
      <c r="L1408"/>
      <c r="M1408"/>
      <c r="N1408"/>
      <c r="O1408"/>
      <c r="P1408"/>
    </row>
    <row r="1409" spans="1:16" ht="12" customHeight="1" x14ac:dyDescent="0.2">
      <c r="A1409"/>
      <c r="B1409"/>
      <c r="C1409"/>
      <c r="H1409"/>
      <c r="I1409"/>
      <c r="J1409"/>
      <c r="K1409"/>
      <c r="L1409"/>
      <c r="M1409"/>
      <c r="N1409"/>
      <c r="O1409"/>
      <c r="P1409"/>
    </row>
    <row r="1410" spans="1:16" ht="12" customHeight="1" x14ac:dyDescent="0.2">
      <c r="A1410"/>
      <c r="B1410"/>
      <c r="C1410"/>
      <c r="H1410"/>
      <c r="I1410"/>
      <c r="J1410"/>
      <c r="K1410"/>
      <c r="L1410"/>
      <c r="M1410"/>
      <c r="N1410"/>
      <c r="O1410"/>
      <c r="P1410"/>
    </row>
    <row r="1411" spans="1:16" x14ac:dyDescent="0.2">
      <c r="A1411"/>
      <c r="B1411"/>
      <c r="C1411"/>
      <c r="H1411"/>
      <c r="I1411"/>
      <c r="J1411"/>
      <c r="K1411"/>
      <c r="L1411"/>
      <c r="M1411"/>
      <c r="N1411"/>
      <c r="O1411"/>
      <c r="P1411"/>
    </row>
    <row r="1412" spans="1:16" ht="12" customHeight="1" x14ac:dyDescent="0.2">
      <c r="A1412"/>
      <c r="B1412"/>
      <c r="C1412"/>
      <c r="H1412"/>
      <c r="I1412"/>
      <c r="J1412"/>
      <c r="K1412"/>
      <c r="L1412"/>
      <c r="M1412"/>
      <c r="N1412"/>
      <c r="O1412"/>
      <c r="P1412"/>
    </row>
    <row r="1413" spans="1:16" ht="12" customHeight="1" x14ac:dyDescent="0.2">
      <c r="A1413"/>
      <c r="B1413"/>
      <c r="C1413"/>
      <c r="H1413"/>
      <c r="I1413"/>
      <c r="J1413"/>
      <c r="K1413"/>
      <c r="L1413"/>
      <c r="M1413"/>
      <c r="N1413"/>
      <c r="O1413"/>
      <c r="P1413"/>
    </row>
    <row r="1414" spans="1:16" ht="12" customHeight="1" x14ac:dyDescent="0.2">
      <c r="A1414"/>
      <c r="B1414"/>
      <c r="C1414"/>
      <c r="H1414"/>
      <c r="I1414"/>
      <c r="J1414"/>
      <c r="K1414"/>
      <c r="L1414"/>
      <c r="M1414"/>
      <c r="N1414"/>
      <c r="O1414"/>
      <c r="P1414"/>
    </row>
    <row r="1415" spans="1:16" ht="12" customHeight="1" x14ac:dyDescent="0.2">
      <c r="A1415"/>
      <c r="B1415"/>
      <c r="C1415"/>
      <c r="H1415"/>
      <c r="I1415"/>
      <c r="J1415"/>
      <c r="K1415"/>
      <c r="L1415"/>
      <c r="M1415"/>
      <c r="N1415"/>
      <c r="O1415"/>
      <c r="P1415"/>
    </row>
    <row r="1416" spans="1:16" ht="12" customHeight="1" x14ac:dyDescent="0.2">
      <c r="A1416"/>
      <c r="B1416"/>
      <c r="C1416"/>
      <c r="H1416"/>
      <c r="I1416"/>
      <c r="J1416"/>
      <c r="K1416"/>
      <c r="L1416"/>
      <c r="M1416"/>
      <c r="N1416"/>
      <c r="O1416"/>
      <c r="P1416"/>
    </row>
    <row r="1417" spans="1:16" ht="12" customHeight="1" x14ac:dyDescent="0.2">
      <c r="A1417"/>
      <c r="B1417"/>
      <c r="C1417"/>
      <c r="H1417"/>
      <c r="I1417"/>
      <c r="J1417"/>
      <c r="K1417"/>
      <c r="L1417"/>
      <c r="M1417"/>
      <c r="N1417"/>
      <c r="O1417"/>
      <c r="P1417"/>
    </row>
    <row r="1418" spans="1:16" ht="12" customHeight="1" x14ac:dyDescent="0.2">
      <c r="A1418"/>
      <c r="B1418"/>
      <c r="C1418"/>
      <c r="H1418"/>
      <c r="I1418"/>
      <c r="J1418"/>
      <c r="K1418"/>
      <c r="L1418"/>
      <c r="M1418"/>
      <c r="N1418"/>
      <c r="O1418"/>
      <c r="P1418"/>
    </row>
    <row r="1419" spans="1:16" x14ac:dyDescent="0.2">
      <c r="A1419"/>
      <c r="B1419"/>
      <c r="C1419"/>
      <c r="H1419"/>
      <c r="I1419"/>
      <c r="J1419"/>
      <c r="K1419"/>
      <c r="L1419"/>
      <c r="M1419"/>
      <c r="N1419"/>
      <c r="O1419"/>
      <c r="P1419"/>
    </row>
    <row r="1420" spans="1:16" x14ac:dyDescent="0.2">
      <c r="A1420"/>
      <c r="B1420"/>
      <c r="C1420"/>
      <c r="H1420"/>
      <c r="I1420"/>
      <c r="J1420"/>
      <c r="K1420"/>
      <c r="L1420"/>
      <c r="M1420"/>
      <c r="N1420"/>
      <c r="O1420"/>
      <c r="P1420"/>
    </row>
    <row r="1421" spans="1:16" ht="12" customHeight="1" x14ac:dyDescent="0.2">
      <c r="A1421"/>
      <c r="B1421"/>
      <c r="C1421"/>
      <c r="H1421"/>
      <c r="I1421"/>
      <c r="J1421"/>
      <c r="K1421"/>
      <c r="L1421"/>
      <c r="M1421"/>
      <c r="N1421"/>
      <c r="O1421"/>
      <c r="P1421"/>
    </row>
    <row r="1422" spans="1:16" ht="12" customHeight="1" x14ac:dyDescent="0.2">
      <c r="A1422"/>
      <c r="B1422"/>
      <c r="C1422"/>
      <c r="H1422"/>
      <c r="I1422"/>
      <c r="J1422"/>
      <c r="K1422"/>
      <c r="L1422"/>
      <c r="M1422"/>
      <c r="N1422"/>
      <c r="O1422"/>
      <c r="P1422"/>
    </row>
    <row r="1423" spans="1:16" ht="12" customHeight="1" x14ac:dyDescent="0.2">
      <c r="A1423"/>
      <c r="B1423"/>
      <c r="C1423"/>
      <c r="H1423"/>
      <c r="I1423"/>
      <c r="J1423"/>
      <c r="K1423"/>
      <c r="L1423"/>
      <c r="M1423"/>
      <c r="N1423"/>
      <c r="O1423"/>
      <c r="P1423"/>
    </row>
    <row r="1424" spans="1:16" ht="12" customHeight="1" x14ac:dyDescent="0.2">
      <c r="A1424"/>
      <c r="B1424"/>
      <c r="C1424"/>
      <c r="H1424"/>
      <c r="I1424"/>
      <c r="J1424"/>
      <c r="K1424"/>
      <c r="L1424"/>
      <c r="M1424"/>
      <c r="N1424"/>
      <c r="O1424"/>
      <c r="P1424"/>
    </row>
    <row r="1425" spans="1:16" ht="12" customHeight="1" x14ac:dyDescent="0.2">
      <c r="A1425"/>
      <c r="B1425"/>
      <c r="C1425"/>
      <c r="H1425"/>
      <c r="I1425"/>
      <c r="J1425"/>
      <c r="K1425"/>
      <c r="L1425"/>
      <c r="M1425"/>
      <c r="N1425"/>
      <c r="O1425"/>
      <c r="P1425"/>
    </row>
    <row r="1426" spans="1:16" ht="12" customHeight="1" x14ac:dyDescent="0.2">
      <c r="A1426"/>
      <c r="B1426"/>
      <c r="C1426"/>
      <c r="H1426"/>
      <c r="I1426"/>
      <c r="J1426"/>
      <c r="K1426"/>
      <c r="L1426"/>
      <c r="M1426"/>
      <c r="N1426"/>
      <c r="O1426"/>
      <c r="P1426"/>
    </row>
    <row r="1427" spans="1:16" ht="12" customHeight="1" x14ac:dyDescent="0.2">
      <c r="A1427"/>
      <c r="B1427"/>
      <c r="C1427"/>
      <c r="H1427"/>
      <c r="I1427"/>
      <c r="J1427"/>
      <c r="K1427"/>
      <c r="L1427"/>
      <c r="M1427"/>
      <c r="N1427"/>
      <c r="O1427"/>
      <c r="P1427"/>
    </row>
    <row r="1428" spans="1:16" ht="12" customHeight="1" x14ac:dyDescent="0.2">
      <c r="A1428"/>
      <c r="B1428"/>
      <c r="C1428"/>
      <c r="H1428"/>
      <c r="I1428"/>
      <c r="J1428"/>
      <c r="K1428"/>
      <c r="L1428"/>
      <c r="M1428"/>
      <c r="N1428"/>
      <c r="O1428"/>
      <c r="P1428"/>
    </row>
    <row r="1429" spans="1:16" ht="12" customHeight="1" x14ac:dyDescent="0.2">
      <c r="A1429"/>
      <c r="B1429"/>
      <c r="C1429"/>
      <c r="H1429"/>
      <c r="I1429"/>
      <c r="J1429"/>
      <c r="K1429"/>
      <c r="L1429"/>
      <c r="M1429"/>
      <c r="N1429"/>
      <c r="O1429"/>
      <c r="P1429"/>
    </row>
    <row r="1430" spans="1:16" ht="12" customHeight="1" x14ac:dyDescent="0.2">
      <c r="A1430"/>
      <c r="B1430"/>
      <c r="C1430"/>
      <c r="H1430"/>
      <c r="I1430"/>
      <c r="J1430"/>
      <c r="K1430"/>
      <c r="L1430"/>
      <c r="M1430"/>
      <c r="N1430"/>
      <c r="O1430"/>
      <c r="P1430"/>
    </row>
    <row r="1431" spans="1:16" ht="15" customHeight="1" x14ac:dyDescent="0.2">
      <c r="A1431"/>
      <c r="B1431"/>
      <c r="C1431"/>
      <c r="H1431"/>
      <c r="I1431"/>
      <c r="J1431"/>
      <c r="K1431"/>
      <c r="L1431"/>
      <c r="M1431"/>
      <c r="N1431"/>
      <c r="O1431"/>
      <c r="P1431"/>
    </row>
    <row r="1432" spans="1:16" ht="15" customHeight="1" x14ac:dyDescent="0.2">
      <c r="A1432"/>
      <c r="B1432"/>
      <c r="C1432"/>
      <c r="H1432"/>
      <c r="I1432"/>
      <c r="J1432"/>
      <c r="K1432"/>
      <c r="L1432"/>
      <c r="M1432"/>
      <c r="N1432"/>
      <c r="O1432"/>
      <c r="P1432"/>
    </row>
    <row r="1433" spans="1:16" ht="15" customHeight="1" x14ac:dyDescent="0.2">
      <c r="A1433"/>
      <c r="B1433"/>
      <c r="C1433"/>
      <c r="H1433"/>
      <c r="I1433"/>
      <c r="J1433"/>
      <c r="K1433"/>
      <c r="L1433"/>
      <c r="M1433"/>
      <c r="N1433"/>
      <c r="O1433"/>
      <c r="P1433"/>
    </row>
    <row r="1434" spans="1:16" ht="15" customHeight="1" x14ac:dyDescent="0.2">
      <c r="A1434"/>
      <c r="B1434"/>
      <c r="C1434"/>
      <c r="H1434"/>
      <c r="I1434"/>
      <c r="J1434"/>
      <c r="K1434"/>
      <c r="L1434"/>
      <c r="M1434"/>
      <c r="N1434"/>
      <c r="O1434"/>
      <c r="P1434"/>
    </row>
    <row r="1435" spans="1:16" ht="15" customHeight="1" x14ac:dyDescent="0.2">
      <c r="A1435"/>
      <c r="B1435"/>
      <c r="C1435"/>
      <c r="H1435"/>
      <c r="I1435"/>
      <c r="J1435"/>
      <c r="K1435"/>
      <c r="L1435"/>
      <c r="M1435"/>
      <c r="N1435"/>
      <c r="O1435"/>
      <c r="P1435"/>
    </row>
    <row r="1436" spans="1:16" ht="15" customHeight="1" x14ac:dyDescent="0.2">
      <c r="A1436"/>
      <c r="B1436"/>
      <c r="C1436"/>
      <c r="H1436"/>
      <c r="I1436"/>
      <c r="J1436"/>
      <c r="K1436"/>
      <c r="L1436"/>
      <c r="M1436"/>
      <c r="N1436"/>
      <c r="O1436"/>
      <c r="P1436"/>
    </row>
    <row r="1437" spans="1:16" ht="15" customHeight="1" x14ac:dyDescent="0.2">
      <c r="A1437"/>
      <c r="B1437"/>
      <c r="C1437"/>
      <c r="H1437"/>
      <c r="I1437"/>
      <c r="J1437"/>
      <c r="K1437"/>
      <c r="L1437"/>
      <c r="M1437"/>
      <c r="N1437"/>
      <c r="O1437"/>
      <c r="P1437"/>
    </row>
    <row r="1438" spans="1:16" ht="15" customHeight="1" x14ac:dyDescent="0.2">
      <c r="A1438"/>
      <c r="B1438"/>
      <c r="C1438"/>
      <c r="H1438"/>
      <c r="I1438"/>
      <c r="J1438"/>
      <c r="K1438"/>
      <c r="L1438"/>
      <c r="M1438"/>
      <c r="N1438"/>
      <c r="O1438"/>
      <c r="P1438"/>
    </row>
    <row r="1439" spans="1:16" ht="15" customHeight="1" x14ac:dyDescent="0.2">
      <c r="A1439"/>
      <c r="B1439"/>
      <c r="C1439"/>
      <c r="H1439"/>
      <c r="I1439"/>
      <c r="J1439"/>
      <c r="K1439"/>
      <c r="L1439"/>
      <c r="M1439"/>
      <c r="N1439"/>
      <c r="O1439"/>
      <c r="P1439"/>
    </row>
    <row r="1440" spans="1:16" ht="15" customHeight="1" x14ac:dyDescent="0.2">
      <c r="A1440"/>
      <c r="B1440"/>
      <c r="C1440"/>
      <c r="H1440"/>
      <c r="I1440"/>
      <c r="J1440"/>
      <c r="K1440"/>
      <c r="L1440"/>
      <c r="M1440"/>
      <c r="N1440"/>
      <c r="O1440"/>
      <c r="P1440"/>
    </row>
    <row r="1441" spans="1:16" ht="15" customHeight="1" x14ac:dyDescent="0.2">
      <c r="A1441"/>
      <c r="B1441"/>
      <c r="C1441"/>
      <c r="H1441"/>
      <c r="I1441"/>
      <c r="J1441"/>
      <c r="K1441"/>
      <c r="L1441"/>
      <c r="M1441"/>
      <c r="N1441"/>
      <c r="O1441"/>
      <c r="P1441"/>
    </row>
    <row r="1442" spans="1:16" ht="17.25" customHeight="1" x14ac:dyDescent="0.2">
      <c r="A1442"/>
      <c r="B1442"/>
      <c r="C1442"/>
      <c r="H1442"/>
      <c r="I1442"/>
      <c r="J1442"/>
      <c r="K1442"/>
      <c r="L1442"/>
      <c r="M1442"/>
      <c r="N1442"/>
      <c r="O1442"/>
      <c r="P1442"/>
    </row>
    <row r="1443" spans="1:16" x14ac:dyDescent="0.2">
      <c r="A1443"/>
      <c r="B1443"/>
      <c r="C1443"/>
      <c r="H1443"/>
      <c r="I1443"/>
      <c r="J1443"/>
      <c r="K1443"/>
      <c r="L1443"/>
      <c r="M1443"/>
      <c r="N1443"/>
      <c r="O1443"/>
      <c r="P1443"/>
    </row>
    <row r="1444" spans="1:16" ht="13.5" customHeight="1" x14ac:dyDescent="0.2">
      <c r="A1444"/>
      <c r="B1444"/>
      <c r="C1444"/>
      <c r="H1444"/>
      <c r="I1444"/>
      <c r="J1444"/>
      <c r="K1444"/>
      <c r="L1444"/>
      <c r="M1444"/>
      <c r="N1444"/>
      <c r="O1444"/>
      <c r="P1444"/>
    </row>
    <row r="1445" spans="1:16" ht="35.25" customHeight="1" x14ac:dyDescent="0.2">
      <c r="A1445"/>
      <c r="B1445"/>
      <c r="C1445"/>
      <c r="H1445"/>
      <c r="I1445"/>
      <c r="J1445"/>
      <c r="K1445"/>
      <c r="L1445"/>
      <c r="M1445"/>
      <c r="N1445"/>
      <c r="O1445"/>
      <c r="P1445"/>
    </row>
    <row r="1446" spans="1:16" ht="40.5" customHeight="1" x14ac:dyDescent="0.2">
      <c r="A1446"/>
      <c r="B1446"/>
      <c r="C1446"/>
      <c r="H1446"/>
      <c r="I1446"/>
      <c r="J1446"/>
      <c r="K1446"/>
      <c r="L1446"/>
      <c r="M1446"/>
      <c r="N1446"/>
      <c r="O1446"/>
      <c r="P1446"/>
    </row>
    <row r="1447" spans="1:16" x14ac:dyDescent="0.2">
      <c r="A1447"/>
      <c r="B1447"/>
      <c r="C1447"/>
      <c r="H1447"/>
      <c r="I1447"/>
      <c r="J1447"/>
      <c r="K1447"/>
      <c r="L1447"/>
      <c r="M1447"/>
      <c r="N1447"/>
      <c r="O1447"/>
      <c r="P1447"/>
    </row>
    <row r="1448" spans="1:16" x14ac:dyDescent="0.2">
      <c r="A1448"/>
      <c r="B1448"/>
      <c r="C1448"/>
      <c r="H1448"/>
      <c r="I1448"/>
      <c r="J1448"/>
      <c r="K1448"/>
      <c r="L1448"/>
      <c r="M1448"/>
      <c r="N1448"/>
      <c r="O1448"/>
      <c r="P1448"/>
    </row>
    <row r="1449" spans="1:16" x14ac:dyDescent="0.2">
      <c r="A1449"/>
      <c r="B1449"/>
      <c r="C1449"/>
      <c r="H1449"/>
      <c r="I1449"/>
      <c r="J1449"/>
      <c r="K1449"/>
      <c r="L1449"/>
      <c r="M1449"/>
      <c r="N1449"/>
      <c r="O1449"/>
      <c r="P1449"/>
    </row>
    <row r="1450" spans="1:16" x14ac:dyDescent="0.2">
      <c r="A1450"/>
      <c r="B1450"/>
      <c r="C1450"/>
      <c r="H1450"/>
      <c r="I1450"/>
      <c r="J1450"/>
      <c r="K1450"/>
      <c r="L1450"/>
      <c r="M1450"/>
      <c r="N1450"/>
      <c r="O1450"/>
      <c r="P1450"/>
    </row>
    <row r="1451" spans="1:16" ht="12" customHeight="1" x14ac:dyDescent="0.2">
      <c r="A1451"/>
      <c r="B1451"/>
      <c r="C1451"/>
      <c r="H1451"/>
      <c r="I1451"/>
      <c r="J1451"/>
      <c r="K1451"/>
      <c r="L1451"/>
      <c r="M1451"/>
      <c r="N1451"/>
      <c r="O1451"/>
      <c r="P1451"/>
    </row>
    <row r="1452" spans="1:16" ht="12" customHeight="1" x14ac:dyDescent="0.2">
      <c r="A1452"/>
      <c r="B1452"/>
      <c r="C1452"/>
      <c r="H1452"/>
      <c r="I1452"/>
      <c r="J1452"/>
      <c r="K1452"/>
      <c r="L1452"/>
      <c r="M1452"/>
      <c r="N1452"/>
      <c r="O1452"/>
      <c r="P1452"/>
    </row>
    <row r="1453" spans="1:16" ht="12" customHeight="1" x14ac:dyDescent="0.2">
      <c r="A1453"/>
      <c r="B1453"/>
      <c r="C1453"/>
      <c r="H1453"/>
      <c r="I1453"/>
      <c r="J1453"/>
      <c r="K1453"/>
      <c r="L1453"/>
      <c r="M1453"/>
      <c r="N1453"/>
      <c r="O1453"/>
      <c r="P1453"/>
    </row>
    <row r="1454" spans="1:16" ht="12" customHeight="1" x14ac:dyDescent="0.2">
      <c r="A1454"/>
      <c r="B1454"/>
      <c r="C1454"/>
      <c r="H1454"/>
      <c r="I1454"/>
      <c r="J1454"/>
      <c r="K1454"/>
      <c r="L1454"/>
      <c r="M1454"/>
      <c r="N1454"/>
      <c r="O1454"/>
      <c r="P1454"/>
    </row>
    <row r="1455" spans="1:16" ht="12" customHeight="1" x14ac:dyDescent="0.2">
      <c r="A1455"/>
      <c r="B1455"/>
      <c r="C1455"/>
      <c r="H1455"/>
      <c r="I1455"/>
      <c r="J1455"/>
      <c r="K1455"/>
      <c r="L1455"/>
      <c r="M1455"/>
      <c r="N1455"/>
      <c r="O1455"/>
      <c r="P1455"/>
    </row>
    <row r="1456" spans="1:16" ht="12" customHeight="1" x14ac:dyDescent="0.2">
      <c r="A1456"/>
      <c r="B1456"/>
      <c r="C1456"/>
      <c r="H1456"/>
      <c r="I1456"/>
      <c r="J1456"/>
      <c r="K1456"/>
      <c r="L1456"/>
      <c r="M1456"/>
      <c r="N1456"/>
      <c r="O1456"/>
      <c r="P1456"/>
    </row>
    <row r="1457" spans="1:16" ht="12" customHeight="1" x14ac:dyDescent="0.2">
      <c r="A1457"/>
      <c r="B1457"/>
      <c r="C1457"/>
      <c r="H1457"/>
      <c r="I1457"/>
      <c r="J1457"/>
      <c r="K1457"/>
      <c r="L1457"/>
      <c r="M1457"/>
      <c r="N1457"/>
      <c r="O1457"/>
      <c r="P1457"/>
    </row>
    <row r="1458" spans="1:16" ht="12" customHeight="1" x14ac:dyDescent="0.2">
      <c r="A1458"/>
      <c r="B1458"/>
      <c r="C1458"/>
      <c r="H1458"/>
      <c r="I1458"/>
      <c r="J1458"/>
      <c r="K1458"/>
      <c r="L1458"/>
      <c r="M1458"/>
      <c r="N1458"/>
      <c r="O1458"/>
      <c r="P1458"/>
    </row>
    <row r="1459" spans="1:16" ht="12" customHeight="1" x14ac:dyDescent="0.2">
      <c r="A1459"/>
      <c r="B1459"/>
      <c r="C1459"/>
      <c r="H1459"/>
      <c r="I1459"/>
      <c r="J1459"/>
      <c r="K1459"/>
      <c r="L1459"/>
      <c r="M1459"/>
      <c r="N1459"/>
      <c r="O1459"/>
      <c r="P1459"/>
    </row>
    <row r="1460" spans="1:16" ht="12" customHeight="1" x14ac:dyDescent="0.2">
      <c r="A1460"/>
      <c r="B1460"/>
      <c r="C1460"/>
      <c r="H1460"/>
      <c r="I1460"/>
      <c r="J1460"/>
      <c r="K1460"/>
      <c r="L1460"/>
      <c r="M1460"/>
      <c r="N1460"/>
      <c r="O1460"/>
      <c r="P1460"/>
    </row>
    <row r="1461" spans="1:16" x14ac:dyDescent="0.2">
      <c r="A1461"/>
      <c r="B1461"/>
      <c r="C1461"/>
      <c r="H1461"/>
      <c r="I1461"/>
      <c r="J1461"/>
      <c r="K1461"/>
      <c r="L1461"/>
      <c r="M1461"/>
      <c r="N1461"/>
      <c r="O1461"/>
      <c r="P1461"/>
    </row>
    <row r="1462" spans="1:16" ht="15" customHeight="1" x14ac:dyDescent="0.2">
      <c r="A1462"/>
      <c r="B1462"/>
      <c r="C1462"/>
      <c r="H1462"/>
      <c r="I1462"/>
      <c r="J1462"/>
      <c r="K1462"/>
      <c r="L1462"/>
      <c r="M1462"/>
      <c r="N1462"/>
      <c r="O1462"/>
      <c r="P1462"/>
    </row>
    <row r="1463" spans="1:16" ht="15" customHeight="1" x14ac:dyDescent="0.2">
      <c r="A1463"/>
      <c r="B1463"/>
      <c r="C1463"/>
      <c r="H1463"/>
      <c r="I1463"/>
      <c r="J1463"/>
      <c r="K1463"/>
      <c r="L1463"/>
      <c r="M1463"/>
      <c r="N1463"/>
      <c r="O1463"/>
      <c r="P1463"/>
    </row>
    <row r="1464" spans="1:16" ht="15" customHeight="1" x14ac:dyDescent="0.2">
      <c r="A1464"/>
      <c r="B1464"/>
      <c r="C1464"/>
      <c r="H1464"/>
      <c r="I1464"/>
      <c r="J1464"/>
      <c r="K1464"/>
      <c r="L1464"/>
      <c r="M1464"/>
      <c r="N1464"/>
      <c r="O1464"/>
      <c r="P1464"/>
    </row>
    <row r="1465" spans="1:16" x14ac:dyDescent="0.2">
      <c r="A1465"/>
      <c r="B1465"/>
      <c r="C1465"/>
      <c r="H1465"/>
      <c r="I1465"/>
      <c r="J1465"/>
      <c r="K1465"/>
      <c r="L1465"/>
      <c r="M1465"/>
      <c r="N1465"/>
      <c r="O1465"/>
      <c r="P1465"/>
    </row>
    <row r="1466" spans="1:16" x14ac:dyDescent="0.2">
      <c r="A1466"/>
      <c r="B1466"/>
      <c r="C1466"/>
      <c r="H1466"/>
      <c r="I1466"/>
      <c r="J1466"/>
      <c r="K1466"/>
      <c r="L1466"/>
      <c r="M1466"/>
      <c r="N1466"/>
      <c r="O1466"/>
      <c r="P1466"/>
    </row>
    <row r="1467" spans="1:16" x14ac:dyDescent="0.2">
      <c r="A1467"/>
      <c r="B1467"/>
      <c r="C1467"/>
      <c r="H1467"/>
      <c r="I1467"/>
      <c r="J1467"/>
      <c r="K1467"/>
      <c r="L1467"/>
      <c r="M1467"/>
      <c r="N1467"/>
      <c r="O1467"/>
      <c r="P1467"/>
    </row>
    <row r="1468" spans="1:16" x14ac:dyDescent="0.2">
      <c r="A1468"/>
      <c r="B1468"/>
      <c r="C1468"/>
      <c r="H1468"/>
      <c r="I1468"/>
      <c r="J1468"/>
      <c r="K1468"/>
      <c r="L1468"/>
      <c r="M1468"/>
      <c r="N1468"/>
      <c r="O1468"/>
      <c r="P1468"/>
    </row>
    <row r="1469" spans="1:16" x14ac:dyDescent="0.2">
      <c r="A1469"/>
      <c r="B1469"/>
      <c r="C1469"/>
      <c r="H1469"/>
      <c r="I1469"/>
      <c r="J1469"/>
      <c r="K1469"/>
      <c r="L1469"/>
      <c r="M1469"/>
      <c r="N1469"/>
      <c r="O1469"/>
      <c r="P1469"/>
    </row>
    <row r="1470" spans="1:16" x14ac:dyDescent="0.2">
      <c r="A1470"/>
      <c r="B1470"/>
      <c r="C1470"/>
      <c r="H1470"/>
      <c r="I1470"/>
      <c r="J1470"/>
      <c r="K1470"/>
      <c r="L1470"/>
      <c r="M1470"/>
      <c r="N1470"/>
      <c r="O1470"/>
      <c r="P1470"/>
    </row>
    <row r="1471" spans="1:16" x14ac:dyDescent="0.2">
      <c r="A1471"/>
      <c r="B1471"/>
      <c r="C1471"/>
      <c r="H1471"/>
      <c r="I1471"/>
      <c r="J1471"/>
      <c r="K1471"/>
      <c r="L1471"/>
      <c r="M1471"/>
      <c r="N1471"/>
      <c r="O1471"/>
      <c r="P1471"/>
    </row>
    <row r="1472" spans="1:16" x14ac:dyDescent="0.2">
      <c r="A1472"/>
      <c r="B1472"/>
      <c r="C1472"/>
      <c r="H1472"/>
      <c r="I1472"/>
      <c r="J1472"/>
      <c r="K1472"/>
      <c r="L1472"/>
      <c r="M1472"/>
      <c r="N1472"/>
      <c r="O1472"/>
      <c r="P1472"/>
    </row>
    <row r="1473" spans="1:16" x14ac:dyDescent="0.2">
      <c r="A1473"/>
      <c r="B1473"/>
      <c r="C1473"/>
      <c r="H1473"/>
      <c r="I1473"/>
      <c r="J1473"/>
      <c r="K1473"/>
      <c r="L1473"/>
      <c r="M1473"/>
      <c r="N1473"/>
      <c r="O1473"/>
      <c r="P1473"/>
    </row>
    <row r="1474" spans="1:16" x14ac:dyDescent="0.2">
      <c r="A1474"/>
      <c r="B1474"/>
      <c r="C1474"/>
      <c r="H1474"/>
      <c r="I1474"/>
      <c r="J1474"/>
      <c r="K1474"/>
      <c r="L1474"/>
      <c r="M1474"/>
      <c r="N1474"/>
      <c r="O1474"/>
      <c r="P1474"/>
    </row>
    <row r="1475" spans="1:16" x14ac:dyDescent="0.2">
      <c r="A1475"/>
      <c r="B1475"/>
      <c r="C1475"/>
      <c r="H1475"/>
      <c r="I1475"/>
      <c r="J1475"/>
      <c r="K1475"/>
      <c r="L1475"/>
      <c r="M1475"/>
      <c r="N1475"/>
      <c r="O1475"/>
      <c r="P1475"/>
    </row>
    <row r="1476" spans="1:16" x14ac:dyDescent="0.2">
      <c r="A1476"/>
      <c r="B1476"/>
      <c r="C1476"/>
      <c r="H1476"/>
      <c r="I1476"/>
      <c r="J1476"/>
      <c r="K1476"/>
      <c r="L1476"/>
      <c r="M1476"/>
      <c r="N1476"/>
      <c r="O1476"/>
      <c r="P1476"/>
    </row>
    <row r="1477" spans="1:16" x14ac:dyDescent="0.2">
      <c r="A1477"/>
      <c r="B1477"/>
      <c r="C1477"/>
      <c r="H1477"/>
      <c r="I1477"/>
      <c r="J1477"/>
      <c r="K1477"/>
      <c r="L1477"/>
      <c r="M1477"/>
      <c r="N1477"/>
      <c r="O1477"/>
      <c r="P1477"/>
    </row>
    <row r="1478" spans="1:16" x14ac:dyDescent="0.2">
      <c r="A1478"/>
      <c r="B1478"/>
      <c r="C1478"/>
      <c r="H1478"/>
      <c r="I1478"/>
      <c r="J1478"/>
      <c r="K1478"/>
      <c r="L1478"/>
      <c r="M1478"/>
      <c r="N1478"/>
      <c r="O1478"/>
      <c r="P1478"/>
    </row>
    <row r="1479" spans="1:16" x14ac:dyDescent="0.2">
      <c r="A1479"/>
      <c r="B1479"/>
      <c r="C1479"/>
      <c r="H1479"/>
      <c r="I1479"/>
      <c r="J1479"/>
      <c r="K1479"/>
      <c r="L1479"/>
      <c r="M1479"/>
      <c r="N1479"/>
      <c r="O1479"/>
      <c r="P1479"/>
    </row>
    <row r="1480" spans="1:16" x14ac:dyDescent="0.2">
      <c r="A1480"/>
      <c r="B1480"/>
      <c r="C1480"/>
      <c r="H1480"/>
      <c r="I1480"/>
      <c r="J1480"/>
      <c r="K1480"/>
      <c r="L1480"/>
      <c r="M1480"/>
      <c r="N1480"/>
      <c r="O1480"/>
      <c r="P1480"/>
    </row>
    <row r="1481" spans="1:16" x14ac:dyDescent="0.2">
      <c r="A1481"/>
      <c r="B1481"/>
      <c r="C1481"/>
      <c r="H1481"/>
      <c r="I1481"/>
      <c r="J1481"/>
      <c r="K1481"/>
      <c r="L1481"/>
      <c r="M1481"/>
      <c r="N1481"/>
      <c r="O1481"/>
      <c r="P1481"/>
    </row>
    <row r="1482" spans="1:16" x14ac:dyDescent="0.2">
      <c r="A1482"/>
      <c r="B1482"/>
      <c r="C1482"/>
      <c r="H1482"/>
      <c r="I1482"/>
      <c r="J1482"/>
      <c r="K1482"/>
      <c r="L1482"/>
      <c r="M1482"/>
      <c r="N1482"/>
      <c r="O1482"/>
      <c r="P1482"/>
    </row>
    <row r="1483" spans="1:16" x14ac:dyDescent="0.2">
      <c r="A1483"/>
      <c r="B1483"/>
      <c r="C1483"/>
      <c r="H1483"/>
      <c r="I1483"/>
      <c r="J1483"/>
      <c r="K1483"/>
      <c r="L1483"/>
      <c r="M1483"/>
      <c r="N1483"/>
      <c r="O1483"/>
      <c r="P1483"/>
    </row>
    <row r="1484" spans="1:16" x14ac:dyDescent="0.2">
      <c r="A1484"/>
      <c r="B1484"/>
      <c r="C1484"/>
      <c r="H1484"/>
      <c r="I1484"/>
      <c r="J1484"/>
      <c r="K1484"/>
      <c r="L1484"/>
      <c r="M1484"/>
      <c r="N1484"/>
      <c r="O1484"/>
      <c r="P1484"/>
    </row>
    <row r="1485" spans="1:16" x14ac:dyDescent="0.2">
      <c r="A1485"/>
      <c r="B1485"/>
      <c r="C1485"/>
      <c r="H1485"/>
      <c r="I1485"/>
      <c r="J1485"/>
      <c r="K1485"/>
      <c r="L1485"/>
      <c r="M1485"/>
      <c r="N1485"/>
      <c r="O1485"/>
      <c r="P1485"/>
    </row>
    <row r="1486" spans="1:16" x14ac:dyDescent="0.2">
      <c r="A1486"/>
      <c r="B1486"/>
      <c r="C1486"/>
      <c r="H1486"/>
      <c r="I1486"/>
      <c r="J1486"/>
      <c r="K1486"/>
      <c r="L1486"/>
      <c r="M1486"/>
      <c r="N1486"/>
      <c r="O1486"/>
      <c r="P1486"/>
    </row>
    <row r="1487" spans="1:16" x14ac:dyDescent="0.2">
      <c r="A1487"/>
      <c r="B1487"/>
      <c r="C1487"/>
      <c r="H1487"/>
      <c r="I1487"/>
      <c r="J1487"/>
      <c r="K1487"/>
      <c r="L1487"/>
      <c r="M1487"/>
      <c r="N1487"/>
      <c r="O1487"/>
      <c r="P1487"/>
    </row>
    <row r="1488" spans="1:16" x14ac:dyDescent="0.2">
      <c r="A1488"/>
      <c r="B1488"/>
      <c r="C1488"/>
      <c r="H1488"/>
      <c r="I1488"/>
      <c r="J1488"/>
      <c r="K1488"/>
      <c r="L1488"/>
      <c r="M1488"/>
      <c r="N1488"/>
      <c r="O1488"/>
      <c r="P1488"/>
    </row>
    <row r="1489" spans="1:16" x14ac:dyDescent="0.2">
      <c r="A1489"/>
      <c r="B1489"/>
      <c r="C1489"/>
      <c r="H1489"/>
      <c r="I1489"/>
      <c r="J1489"/>
      <c r="K1489"/>
      <c r="L1489"/>
      <c r="M1489"/>
      <c r="N1489"/>
      <c r="O1489"/>
      <c r="P1489"/>
    </row>
    <row r="1490" spans="1:16" x14ac:dyDescent="0.2">
      <c r="A1490"/>
      <c r="B1490"/>
      <c r="C1490"/>
      <c r="H1490"/>
      <c r="I1490"/>
      <c r="J1490"/>
      <c r="K1490"/>
      <c r="L1490"/>
      <c r="M1490"/>
      <c r="N1490"/>
      <c r="O1490"/>
      <c r="P1490"/>
    </row>
    <row r="1491" spans="1:16" x14ac:dyDescent="0.2">
      <c r="A1491"/>
      <c r="B1491"/>
      <c r="C1491"/>
      <c r="H1491"/>
      <c r="I1491"/>
      <c r="J1491"/>
      <c r="K1491"/>
      <c r="L1491"/>
      <c r="M1491"/>
      <c r="N1491"/>
      <c r="O1491"/>
      <c r="P1491"/>
    </row>
    <row r="1492" spans="1:16" x14ac:dyDescent="0.2">
      <c r="A1492"/>
      <c r="B1492"/>
      <c r="C1492"/>
      <c r="H1492"/>
      <c r="I1492"/>
      <c r="J1492"/>
      <c r="K1492"/>
      <c r="L1492"/>
      <c r="M1492"/>
      <c r="N1492"/>
      <c r="O1492"/>
      <c r="P1492"/>
    </row>
    <row r="1493" spans="1:16" x14ac:dyDescent="0.2">
      <c r="A1493"/>
      <c r="B1493"/>
      <c r="C1493"/>
      <c r="H1493"/>
      <c r="I1493"/>
      <c r="J1493"/>
      <c r="K1493"/>
      <c r="L1493"/>
      <c r="M1493"/>
      <c r="N1493"/>
      <c r="O1493"/>
      <c r="P1493"/>
    </row>
    <row r="1494" spans="1:16" x14ac:dyDescent="0.2">
      <c r="A1494"/>
      <c r="B1494"/>
      <c r="C1494"/>
      <c r="H1494"/>
      <c r="I1494"/>
      <c r="J1494"/>
      <c r="K1494"/>
      <c r="L1494"/>
      <c r="M1494"/>
      <c r="N1494"/>
      <c r="O1494"/>
      <c r="P1494"/>
    </row>
    <row r="1495" spans="1:16" x14ac:dyDescent="0.2">
      <c r="A1495"/>
      <c r="B1495"/>
      <c r="C1495"/>
      <c r="H1495"/>
      <c r="I1495"/>
      <c r="J1495"/>
      <c r="K1495"/>
      <c r="L1495"/>
      <c r="M1495"/>
      <c r="N1495"/>
      <c r="O1495"/>
      <c r="P1495"/>
    </row>
    <row r="1496" spans="1:16" x14ac:dyDescent="0.2">
      <c r="A1496"/>
      <c r="B1496"/>
      <c r="C1496"/>
      <c r="H1496"/>
      <c r="I1496"/>
      <c r="J1496"/>
      <c r="K1496"/>
      <c r="L1496"/>
      <c r="M1496"/>
      <c r="N1496"/>
      <c r="O1496"/>
      <c r="P1496"/>
    </row>
    <row r="1497" spans="1:16" x14ac:dyDescent="0.2">
      <c r="A1497"/>
      <c r="B1497"/>
      <c r="C1497"/>
      <c r="H1497"/>
      <c r="I1497"/>
      <c r="J1497"/>
      <c r="K1497"/>
      <c r="L1497"/>
      <c r="M1497"/>
      <c r="N1497"/>
      <c r="O1497"/>
      <c r="P1497"/>
    </row>
    <row r="1498" spans="1:16" x14ac:dyDescent="0.2">
      <c r="A1498"/>
      <c r="B1498"/>
      <c r="C1498"/>
      <c r="H1498"/>
      <c r="I1498"/>
      <c r="J1498"/>
      <c r="K1498"/>
      <c r="L1498"/>
      <c r="M1498"/>
      <c r="N1498"/>
      <c r="O1498"/>
      <c r="P1498"/>
    </row>
    <row r="1499" spans="1:16" x14ac:dyDescent="0.2">
      <c r="A1499"/>
      <c r="B1499"/>
      <c r="C1499"/>
      <c r="H1499"/>
      <c r="I1499"/>
      <c r="J1499"/>
      <c r="K1499"/>
      <c r="L1499"/>
      <c r="M1499"/>
      <c r="N1499"/>
      <c r="O1499"/>
      <c r="P1499"/>
    </row>
    <row r="1500" spans="1:16" x14ac:dyDescent="0.2">
      <c r="A1500"/>
      <c r="B1500"/>
      <c r="C1500"/>
      <c r="H1500"/>
      <c r="I1500"/>
      <c r="J1500"/>
      <c r="K1500"/>
      <c r="L1500"/>
      <c r="M1500"/>
      <c r="N1500"/>
      <c r="O1500"/>
      <c r="P1500"/>
    </row>
    <row r="1501" spans="1:16" x14ac:dyDescent="0.2">
      <c r="A1501"/>
      <c r="B1501"/>
      <c r="C1501"/>
      <c r="H1501"/>
      <c r="I1501"/>
      <c r="J1501"/>
      <c r="K1501"/>
      <c r="L1501"/>
      <c r="M1501"/>
      <c r="N1501"/>
      <c r="O1501"/>
      <c r="P1501"/>
    </row>
    <row r="1502" spans="1:16" x14ac:dyDescent="0.2">
      <c r="A1502"/>
      <c r="B1502"/>
      <c r="C1502"/>
      <c r="H1502"/>
      <c r="I1502"/>
      <c r="J1502"/>
      <c r="K1502"/>
      <c r="L1502"/>
      <c r="M1502"/>
      <c r="N1502"/>
      <c r="O1502"/>
      <c r="P1502"/>
    </row>
    <row r="1503" spans="1:16" x14ac:dyDescent="0.2">
      <c r="A1503"/>
      <c r="B1503"/>
      <c r="C1503"/>
      <c r="H1503"/>
      <c r="I1503"/>
      <c r="J1503"/>
      <c r="K1503"/>
      <c r="L1503"/>
      <c r="M1503"/>
      <c r="N1503"/>
      <c r="O1503"/>
      <c r="P1503"/>
    </row>
    <row r="1504" spans="1:16" x14ac:dyDescent="0.2">
      <c r="A1504"/>
      <c r="B1504"/>
      <c r="C1504"/>
      <c r="H1504"/>
      <c r="I1504"/>
      <c r="J1504"/>
      <c r="K1504"/>
      <c r="L1504"/>
      <c r="M1504"/>
      <c r="N1504"/>
      <c r="O1504"/>
      <c r="P1504"/>
    </row>
    <row r="1505" spans="1:16" x14ac:dyDescent="0.2">
      <c r="A1505"/>
      <c r="B1505"/>
      <c r="C1505"/>
      <c r="H1505"/>
      <c r="I1505"/>
      <c r="J1505"/>
      <c r="K1505"/>
      <c r="L1505"/>
      <c r="M1505"/>
      <c r="N1505"/>
      <c r="O1505"/>
      <c r="P1505"/>
    </row>
    <row r="1506" spans="1:16" x14ac:dyDescent="0.2">
      <c r="A1506"/>
      <c r="B1506"/>
      <c r="C1506"/>
      <c r="H1506"/>
      <c r="I1506"/>
      <c r="J1506"/>
      <c r="K1506"/>
      <c r="L1506"/>
      <c r="M1506"/>
      <c r="N1506"/>
      <c r="O1506"/>
      <c r="P1506"/>
    </row>
    <row r="1507" spans="1:16" x14ac:dyDescent="0.2">
      <c r="A1507"/>
      <c r="B1507"/>
      <c r="C1507"/>
      <c r="H1507"/>
      <c r="I1507"/>
      <c r="J1507"/>
      <c r="K1507"/>
      <c r="L1507"/>
      <c r="M1507"/>
      <c r="N1507"/>
      <c r="O1507"/>
      <c r="P1507"/>
    </row>
    <row r="1508" spans="1:16" x14ac:dyDescent="0.2">
      <c r="A1508"/>
      <c r="B1508"/>
      <c r="C1508"/>
      <c r="H1508"/>
      <c r="I1508"/>
      <c r="J1508"/>
      <c r="K1508"/>
      <c r="L1508"/>
      <c r="M1508"/>
      <c r="N1508"/>
      <c r="O1508"/>
      <c r="P1508"/>
    </row>
    <row r="1509" spans="1:16" x14ac:dyDescent="0.2">
      <c r="A1509"/>
      <c r="B1509"/>
      <c r="C1509"/>
      <c r="H1509"/>
      <c r="I1509"/>
      <c r="J1509"/>
      <c r="K1509"/>
      <c r="L1509"/>
      <c r="M1509"/>
      <c r="N1509"/>
      <c r="O1509"/>
      <c r="P1509"/>
    </row>
    <row r="1510" spans="1:16" x14ac:dyDescent="0.2">
      <c r="A1510"/>
      <c r="B1510"/>
      <c r="C1510"/>
      <c r="H1510"/>
      <c r="I1510"/>
      <c r="J1510"/>
      <c r="K1510"/>
      <c r="L1510"/>
      <c r="M1510"/>
      <c r="N1510"/>
      <c r="O1510"/>
      <c r="P1510"/>
    </row>
    <row r="1511" spans="1:16" x14ac:dyDescent="0.2">
      <c r="A1511"/>
      <c r="B1511"/>
      <c r="C1511"/>
      <c r="H1511"/>
      <c r="I1511"/>
      <c r="J1511"/>
      <c r="K1511"/>
      <c r="L1511"/>
      <c r="M1511"/>
      <c r="N1511"/>
      <c r="O1511"/>
      <c r="P1511"/>
    </row>
    <row r="1512" spans="1:16" x14ac:dyDescent="0.2">
      <c r="A1512"/>
      <c r="B1512"/>
      <c r="C1512"/>
      <c r="H1512"/>
      <c r="I1512"/>
      <c r="J1512"/>
      <c r="K1512"/>
      <c r="L1512"/>
      <c r="M1512"/>
      <c r="N1512"/>
      <c r="O1512"/>
      <c r="P1512"/>
    </row>
    <row r="1513" spans="1:16" x14ac:dyDescent="0.2">
      <c r="A1513"/>
      <c r="B1513"/>
      <c r="C1513"/>
      <c r="H1513"/>
      <c r="I1513"/>
      <c r="J1513"/>
      <c r="K1513"/>
      <c r="L1513"/>
      <c r="M1513"/>
      <c r="N1513"/>
      <c r="O1513"/>
      <c r="P1513"/>
    </row>
    <row r="1514" spans="1:16" x14ac:dyDescent="0.2">
      <c r="A1514"/>
      <c r="B1514"/>
      <c r="C1514"/>
      <c r="H1514"/>
      <c r="I1514"/>
      <c r="J1514"/>
      <c r="K1514"/>
      <c r="L1514"/>
      <c r="M1514"/>
      <c r="N1514"/>
      <c r="O1514"/>
      <c r="P1514"/>
    </row>
    <row r="1515" spans="1:16" x14ac:dyDescent="0.2">
      <c r="A1515"/>
      <c r="B1515"/>
      <c r="C1515"/>
      <c r="H1515"/>
      <c r="I1515"/>
      <c r="J1515"/>
      <c r="K1515"/>
      <c r="L1515"/>
      <c r="M1515"/>
      <c r="N1515"/>
      <c r="O1515"/>
      <c r="P1515"/>
    </row>
    <row r="1516" spans="1:16" x14ac:dyDescent="0.2">
      <c r="A1516"/>
      <c r="B1516"/>
      <c r="C1516"/>
      <c r="H1516"/>
      <c r="I1516"/>
      <c r="J1516"/>
      <c r="K1516"/>
      <c r="L1516"/>
      <c r="M1516"/>
      <c r="N1516"/>
      <c r="O1516"/>
      <c r="P1516"/>
    </row>
    <row r="1517" spans="1:16" x14ac:dyDescent="0.2">
      <c r="A1517"/>
      <c r="B1517"/>
      <c r="C1517"/>
      <c r="H1517"/>
      <c r="I1517"/>
      <c r="J1517"/>
      <c r="K1517"/>
      <c r="L1517"/>
      <c r="M1517"/>
      <c r="N1517"/>
      <c r="O1517"/>
      <c r="P1517"/>
    </row>
    <row r="1518" spans="1:16" x14ac:dyDescent="0.2">
      <c r="A1518"/>
      <c r="B1518"/>
      <c r="C1518"/>
      <c r="H1518"/>
      <c r="I1518"/>
      <c r="J1518"/>
      <c r="K1518"/>
      <c r="L1518"/>
      <c r="M1518"/>
      <c r="N1518"/>
      <c r="O1518"/>
      <c r="P1518"/>
    </row>
    <row r="1519" spans="1:16" x14ac:dyDescent="0.2">
      <c r="A1519"/>
      <c r="B1519"/>
      <c r="C1519"/>
      <c r="H1519"/>
      <c r="I1519"/>
      <c r="J1519"/>
      <c r="K1519"/>
      <c r="L1519"/>
      <c r="M1519"/>
      <c r="N1519"/>
      <c r="O1519"/>
      <c r="P1519"/>
    </row>
    <row r="1520" spans="1:16" x14ac:dyDescent="0.2">
      <c r="A1520"/>
      <c r="B1520"/>
      <c r="C1520"/>
      <c r="H1520"/>
      <c r="I1520"/>
      <c r="J1520"/>
      <c r="K1520"/>
      <c r="L1520"/>
      <c r="M1520"/>
      <c r="N1520"/>
      <c r="O1520"/>
      <c r="P1520"/>
    </row>
    <row r="1521" spans="1:16" x14ac:dyDescent="0.2">
      <c r="A1521"/>
      <c r="B1521"/>
      <c r="C1521"/>
      <c r="H1521"/>
      <c r="I1521"/>
      <c r="J1521"/>
      <c r="K1521"/>
      <c r="L1521"/>
      <c r="M1521"/>
      <c r="N1521"/>
      <c r="O1521"/>
      <c r="P1521"/>
    </row>
    <row r="1522" spans="1:16" x14ac:dyDescent="0.2">
      <c r="A1522"/>
      <c r="B1522"/>
      <c r="C1522"/>
      <c r="H1522"/>
      <c r="I1522"/>
      <c r="J1522"/>
      <c r="K1522"/>
      <c r="L1522"/>
      <c r="M1522"/>
      <c r="N1522"/>
      <c r="O1522"/>
      <c r="P1522"/>
    </row>
    <row r="1523" spans="1:16" x14ac:dyDescent="0.2">
      <c r="A1523"/>
      <c r="B1523"/>
      <c r="C1523"/>
      <c r="H1523"/>
      <c r="I1523"/>
      <c r="J1523"/>
      <c r="K1523"/>
      <c r="L1523"/>
      <c r="M1523"/>
      <c r="N1523"/>
      <c r="O1523"/>
      <c r="P1523"/>
    </row>
    <row r="1524" spans="1:16" x14ac:dyDescent="0.2">
      <c r="A1524"/>
      <c r="B1524"/>
      <c r="C1524"/>
      <c r="H1524"/>
      <c r="I1524"/>
      <c r="J1524"/>
      <c r="K1524"/>
      <c r="L1524"/>
      <c r="M1524"/>
      <c r="N1524"/>
      <c r="O1524"/>
      <c r="P1524"/>
    </row>
    <row r="1525" spans="1:16" x14ac:dyDescent="0.2">
      <c r="A1525"/>
      <c r="B1525"/>
      <c r="C1525"/>
      <c r="H1525"/>
      <c r="I1525"/>
      <c r="J1525"/>
      <c r="K1525"/>
      <c r="L1525"/>
      <c r="M1525"/>
      <c r="N1525"/>
      <c r="O1525"/>
      <c r="P1525"/>
    </row>
    <row r="1526" spans="1:16" x14ac:dyDescent="0.2">
      <c r="A1526"/>
      <c r="B1526"/>
      <c r="C1526"/>
      <c r="H1526"/>
      <c r="I1526"/>
      <c r="J1526"/>
      <c r="K1526"/>
      <c r="L1526"/>
      <c r="M1526"/>
      <c r="N1526"/>
      <c r="O1526"/>
      <c r="P1526"/>
    </row>
    <row r="1527" spans="1:16" x14ac:dyDescent="0.2">
      <c r="A1527"/>
      <c r="B1527"/>
      <c r="C1527"/>
      <c r="H1527"/>
      <c r="I1527"/>
      <c r="J1527"/>
      <c r="K1527"/>
      <c r="L1527"/>
      <c r="M1527"/>
      <c r="N1527"/>
      <c r="O1527"/>
      <c r="P1527"/>
    </row>
    <row r="1528" spans="1:16" x14ac:dyDescent="0.2">
      <c r="A1528"/>
      <c r="B1528"/>
      <c r="C1528"/>
      <c r="H1528"/>
      <c r="I1528"/>
      <c r="J1528"/>
      <c r="K1528"/>
      <c r="L1528"/>
      <c r="M1528"/>
      <c r="N1528"/>
      <c r="O1528"/>
      <c r="P1528"/>
    </row>
    <row r="1529" spans="1:16" x14ac:dyDescent="0.2">
      <c r="A1529"/>
      <c r="B1529"/>
      <c r="C1529"/>
      <c r="H1529"/>
      <c r="I1529"/>
      <c r="J1529"/>
      <c r="K1529"/>
      <c r="L1529"/>
      <c r="M1529"/>
      <c r="N1529"/>
      <c r="O1529"/>
      <c r="P1529"/>
    </row>
    <row r="1530" spans="1:16" x14ac:dyDescent="0.2">
      <c r="A1530"/>
      <c r="B1530"/>
      <c r="C1530"/>
      <c r="H1530"/>
      <c r="I1530"/>
      <c r="J1530"/>
      <c r="K1530"/>
      <c r="L1530"/>
      <c r="M1530"/>
      <c r="N1530"/>
      <c r="O1530"/>
      <c r="P1530"/>
    </row>
    <row r="1531" spans="1:16" x14ac:dyDescent="0.2">
      <c r="A1531"/>
      <c r="B1531"/>
      <c r="C1531"/>
      <c r="H1531"/>
      <c r="I1531"/>
      <c r="J1531"/>
      <c r="K1531"/>
      <c r="L1531"/>
      <c r="M1531"/>
      <c r="N1531"/>
      <c r="O1531"/>
      <c r="P1531"/>
    </row>
    <row r="1532" spans="1:16" x14ac:dyDescent="0.2">
      <c r="A1532"/>
      <c r="B1532"/>
      <c r="C1532"/>
      <c r="H1532"/>
      <c r="I1532"/>
      <c r="J1532"/>
      <c r="K1532"/>
      <c r="L1532"/>
      <c r="M1532"/>
      <c r="N1532"/>
      <c r="O1532"/>
      <c r="P1532"/>
    </row>
    <row r="1533" spans="1:16" x14ac:dyDescent="0.2">
      <c r="A1533"/>
      <c r="B1533"/>
      <c r="C1533"/>
      <c r="H1533"/>
      <c r="I1533"/>
      <c r="J1533"/>
      <c r="K1533"/>
      <c r="L1533"/>
      <c r="M1533"/>
      <c r="N1533"/>
      <c r="O1533"/>
      <c r="P1533"/>
    </row>
    <row r="1534" spans="1:16" x14ac:dyDescent="0.2">
      <c r="A1534"/>
      <c r="B1534"/>
      <c r="C1534"/>
      <c r="H1534"/>
      <c r="I1534"/>
      <c r="J1534"/>
      <c r="K1534"/>
      <c r="L1534"/>
      <c r="M1534"/>
      <c r="N1534"/>
      <c r="O1534"/>
      <c r="P1534"/>
    </row>
    <row r="1535" spans="1:16" x14ac:dyDescent="0.2">
      <c r="A1535"/>
      <c r="B1535"/>
      <c r="C1535"/>
      <c r="H1535"/>
      <c r="I1535"/>
      <c r="J1535"/>
      <c r="K1535"/>
      <c r="L1535"/>
      <c r="M1535"/>
      <c r="N1535"/>
      <c r="O1535"/>
      <c r="P1535"/>
    </row>
    <row r="1536" spans="1:16" x14ac:dyDescent="0.2">
      <c r="A1536"/>
      <c r="B1536"/>
      <c r="C1536"/>
      <c r="H1536"/>
      <c r="I1536"/>
      <c r="J1536"/>
      <c r="K1536"/>
      <c r="L1536"/>
      <c r="M1536"/>
      <c r="N1536"/>
      <c r="O1536"/>
      <c r="P1536"/>
    </row>
    <row r="1537" spans="1:16" x14ac:dyDescent="0.2">
      <c r="A1537"/>
      <c r="B1537"/>
      <c r="C1537"/>
      <c r="H1537"/>
      <c r="I1537"/>
      <c r="J1537"/>
      <c r="K1537"/>
      <c r="L1537"/>
      <c r="M1537"/>
      <c r="N1537"/>
      <c r="O1537"/>
      <c r="P1537"/>
    </row>
    <row r="1538" spans="1:16" x14ac:dyDescent="0.2">
      <c r="A1538"/>
      <c r="B1538"/>
      <c r="C1538"/>
      <c r="H1538"/>
      <c r="I1538"/>
      <c r="J1538"/>
      <c r="K1538"/>
      <c r="L1538"/>
      <c r="M1538"/>
      <c r="N1538"/>
      <c r="O1538"/>
      <c r="P1538"/>
    </row>
    <row r="1539" spans="1:16" x14ac:dyDescent="0.2">
      <c r="A1539"/>
      <c r="B1539"/>
      <c r="C1539"/>
      <c r="H1539"/>
      <c r="I1539"/>
      <c r="J1539"/>
      <c r="K1539"/>
      <c r="L1539"/>
      <c r="M1539"/>
      <c r="N1539"/>
      <c r="O1539"/>
      <c r="P1539"/>
    </row>
    <row r="1540" spans="1:16" x14ac:dyDescent="0.2">
      <c r="A1540"/>
      <c r="B1540"/>
      <c r="C1540"/>
      <c r="H1540"/>
      <c r="I1540"/>
      <c r="J1540"/>
      <c r="K1540"/>
      <c r="L1540"/>
      <c r="M1540"/>
      <c r="N1540"/>
      <c r="O1540"/>
      <c r="P1540"/>
    </row>
    <row r="1541" spans="1:16" x14ac:dyDescent="0.2">
      <c r="A1541"/>
      <c r="B1541"/>
      <c r="C1541"/>
      <c r="H1541"/>
      <c r="I1541"/>
      <c r="J1541"/>
      <c r="K1541"/>
      <c r="L1541"/>
      <c r="M1541"/>
      <c r="N1541"/>
      <c r="O1541"/>
      <c r="P1541"/>
    </row>
    <row r="1542" spans="1:16" x14ac:dyDescent="0.2">
      <c r="A1542"/>
      <c r="B1542"/>
      <c r="C1542"/>
      <c r="H1542"/>
      <c r="I1542"/>
      <c r="J1542"/>
      <c r="K1542"/>
      <c r="L1542"/>
      <c r="M1542"/>
      <c r="N1542"/>
      <c r="O1542"/>
      <c r="P1542"/>
    </row>
    <row r="1543" spans="1:16" x14ac:dyDescent="0.2">
      <c r="A1543"/>
      <c r="B1543"/>
      <c r="C1543"/>
      <c r="H1543"/>
      <c r="I1543"/>
      <c r="J1543"/>
      <c r="K1543"/>
      <c r="L1543"/>
      <c r="M1543"/>
      <c r="N1543"/>
      <c r="O1543"/>
      <c r="P1543"/>
    </row>
    <row r="1544" spans="1:16" x14ac:dyDescent="0.2">
      <c r="A1544"/>
      <c r="B1544"/>
      <c r="C1544"/>
      <c r="H1544"/>
      <c r="I1544"/>
      <c r="J1544"/>
      <c r="K1544"/>
      <c r="L1544"/>
      <c r="M1544"/>
      <c r="N1544"/>
      <c r="O1544"/>
      <c r="P1544"/>
    </row>
    <row r="1545" spans="1:16" x14ac:dyDescent="0.2">
      <c r="A1545"/>
      <c r="B1545"/>
      <c r="C1545"/>
      <c r="H1545"/>
      <c r="I1545"/>
      <c r="J1545"/>
      <c r="K1545"/>
      <c r="L1545"/>
      <c r="M1545"/>
      <c r="N1545"/>
      <c r="O1545"/>
      <c r="P1545"/>
    </row>
    <row r="1546" spans="1:16" x14ac:dyDescent="0.2">
      <c r="A1546"/>
      <c r="B1546"/>
      <c r="C1546"/>
      <c r="H1546"/>
      <c r="I1546"/>
      <c r="J1546"/>
      <c r="K1546"/>
      <c r="L1546"/>
      <c r="M1546"/>
      <c r="N1546"/>
      <c r="O1546"/>
      <c r="P1546"/>
    </row>
    <row r="1547" spans="1:16" x14ac:dyDescent="0.2">
      <c r="A1547"/>
      <c r="B1547"/>
      <c r="C1547"/>
      <c r="H1547"/>
      <c r="I1547"/>
      <c r="J1547"/>
      <c r="K1547"/>
      <c r="L1547"/>
      <c r="M1547"/>
      <c r="N1547"/>
      <c r="O1547"/>
      <c r="P1547"/>
    </row>
    <row r="1548" spans="1:16" x14ac:dyDescent="0.2">
      <c r="A1548"/>
      <c r="B1548"/>
      <c r="C1548"/>
      <c r="H1548"/>
      <c r="I1548"/>
      <c r="J1548"/>
      <c r="K1548"/>
      <c r="L1548"/>
      <c r="M1548"/>
      <c r="N1548"/>
      <c r="O1548"/>
      <c r="P1548"/>
    </row>
    <row r="1549" spans="1:16" x14ac:dyDescent="0.2">
      <c r="A1549"/>
      <c r="B1549"/>
      <c r="C1549"/>
      <c r="H1549"/>
      <c r="I1549"/>
      <c r="J1549"/>
      <c r="K1549"/>
      <c r="L1549"/>
      <c r="M1549"/>
      <c r="N1549"/>
      <c r="O1549"/>
      <c r="P1549"/>
    </row>
    <row r="1550" spans="1:16" x14ac:dyDescent="0.2">
      <c r="A1550"/>
      <c r="B1550"/>
      <c r="C1550"/>
      <c r="H1550"/>
      <c r="I1550"/>
      <c r="J1550"/>
      <c r="K1550"/>
      <c r="L1550"/>
      <c r="M1550"/>
      <c r="N1550"/>
      <c r="O1550"/>
      <c r="P1550"/>
    </row>
    <row r="1551" spans="1:16" x14ac:dyDescent="0.2">
      <c r="A1551"/>
      <c r="B1551"/>
      <c r="C1551"/>
      <c r="H1551"/>
      <c r="I1551"/>
      <c r="J1551"/>
      <c r="K1551"/>
      <c r="L1551"/>
      <c r="M1551"/>
      <c r="N1551"/>
      <c r="O1551"/>
      <c r="P1551"/>
    </row>
    <row r="1552" spans="1:16" x14ac:dyDescent="0.2">
      <c r="A1552"/>
      <c r="B1552"/>
      <c r="C1552"/>
      <c r="H1552"/>
      <c r="I1552"/>
      <c r="J1552"/>
      <c r="K1552"/>
      <c r="L1552"/>
      <c r="M1552"/>
      <c r="N1552"/>
      <c r="O1552"/>
      <c r="P1552"/>
    </row>
    <row r="1553" spans="1:16" x14ac:dyDescent="0.2">
      <c r="A1553"/>
      <c r="B1553"/>
      <c r="C1553"/>
      <c r="H1553"/>
      <c r="I1553"/>
      <c r="J1553"/>
      <c r="K1553"/>
      <c r="L1553"/>
      <c r="M1553"/>
      <c r="N1553"/>
      <c r="O1553"/>
      <c r="P1553"/>
    </row>
    <row r="1554" spans="1:16" x14ac:dyDescent="0.2">
      <c r="A1554"/>
      <c r="B1554"/>
      <c r="C1554"/>
      <c r="H1554"/>
      <c r="I1554"/>
      <c r="J1554"/>
      <c r="K1554"/>
      <c r="L1554"/>
      <c r="M1554"/>
      <c r="N1554"/>
      <c r="O1554"/>
      <c r="P1554"/>
    </row>
    <row r="1555" spans="1:16" x14ac:dyDescent="0.2">
      <c r="A1555"/>
      <c r="B1555"/>
      <c r="C1555"/>
      <c r="H1555"/>
      <c r="I1555"/>
      <c r="J1555"/>
      <c r="K1555"/>
      <c r="L1555"/>
      <c r="M1555"/>
      <c r="N1555"/>
      <c r="O1555"/>
      <c r="P1555"/>
    </row>
    <row r="1556" spans="1:16" x14ac:dyDescent="0.2">
      <c r="A1556"/>
      <c r="B1556"/>
      <c r="C1556"/>
      <c r="H1556"/>
      <c r="I1556"/>
      <c r="J1556"/>
      <c r="K1556"/>
      <c r="L1556"/>
      <c r="M1556"/>
      <c r="N1556"/>
      <c r="O1556"/>
      <c r="P1556"/>
    </row>
    <row r="1557" spans="1:16" x14ac:dyDescent="0.2">
      <c r="A1557"/>
      <c r="B1557"/>
      <c r="C1557"/>
      <c r="H1557"/>
      <c r="I1557"/>
      <c r="J1557"/>
      <c r="K1557"/>
      <c r="L1557"/>
      <c r="M1557"/>
      <c r="N1557"/>
      <c r="O1557"/>
      <c r="P1557"/>
    </row>
    <row r="1558" spans="1:16" x14ac:dyDescent="0.2">
      <c r="A1558"/>
      <c r="B1558"/>
      <c r="C1558"/>
      <c r="H1558"/>
      <c r="I1558"/>
      <c r="J1558"/>
      <c r="K1558"/>
      <c r="L1558"/>
      <c r="M1558"/>
      <c r="N1558"/>
      <c r="O1558"/>
      <c r="P1558"/>
    </row>
    <row r="1559" spans="1:16" x14ac:dyDescent="0.2">
      <c r="A1559"/>
      <c r="B1559"/>
      <c r="C1559"/>
      <c r="H1559"/>
      <c r="I1559"/>
      <c r="J1559"/>
      <c r="K1559"/>
      <c r="L1559"/>
      <c r="M1559"/>
      <c r="N1559"/>
      <c r="O1559"/>
      <c r="P1559"/>
    </row>
    <row r="1560" spans="1:16" x14ac:dyDescent="0.2">
      <c r="A1560"/>
      <c r="B1560"/>
      <c r="C1560"/>
      <c r="H1560"/>
      <c r="I1560"/>
      <c r="J1560"/>
      <c r="K1560"/>
      <c r="L1560"/>
      <c r="M1560"/>
      <c r="N1560"/>
      <c r="O1560"/>
      <c r="P1560"/>
    </row>
    <row r="1561" spans="1:16" x14ac:dyDescent="0.2">
      <c r="A1561"/>
      <c r="B1561"/>
      <c r="C1561"/>
      <c r="H1561"/>
      <c r="I1561"/>
      <c r="J1561"/>
      <c r="K1561"/>
      <c r="L1561"/>
      <c r="M1561"/>
      <c r="N1561"/>
      <c r="O1561"/>
      <c r="P1561"/>
    </row>
    <row r="1562" spans="1:16" x14ac:dyDescent="0.2">
      <c r="A1562"/>
      <c r="B1562"/>
      <c r="C1562"/>
      <c r="H1562"/>
      <c r="I1562"/>
      <c r="J1562"/>
      <c r="K1562"/>
      <c r="L1562"/>
      <c r="M1562"/>
      <c r="N1562"/>
      <c r="O1562"/>
      <c r="P1562"/>
    </row>
    <row r="1563" spans="1:16" x14ac:dyDescent="0.2">
      <c r="A1563"/>
      <c r="B1563"/>
      <c r="C1563"/>
      <c r="H1563"/>
      <c r="I1563"/>
      <c r="J1563"/>
      <c r="K1563"/>
      <c r="L1563"/>
      <c r="M1563"/>
      <c r="N1563"/>
      <c r="O1563"/>
      <c r="P1563"/>
    </row>
    <row r="1564" spans="1:16" x14ac:dyDescent="0.2">
      <c r="A1564"/>
      <c r="B1564"/>
      <c r="C1564"/>
      <c r="H1564"/>
      <c r="I1564"/>
      <c r="J1564"/>
      <c r="K1564"/>
      <c r="L1564"/>
      <c r="M1564"/>
      <c r="N1564"/>
      <c r="O1564"/>
      <c r="P1564"/>
    </row>
    <row r="1565" spans="1:16" x14ac:dyDescent="0.2">
      <c r="A1565"/>
      <c r="B1565"/>
      <c r="C1565"/>
      <c r="H1565"/>
      <c r="I1565"/>
      <c r="J1565"/>
      <c r="K1565"/>
      <c r="L1565"/>
      <c r="M1565"/>
      <c r="N1565"/>
      <c r="O1565"/>
      <c r="P1565"/>
    </row>
    <row r="1566" spans="1:16" x14ac:dyDescent="0.2">
      <c r="A1566"/>
      <c r="B1566"/>
      <c r="C1566"/>
      <c r="H1566"/>
      <c r="I1566"/>
      <c r="J1566"/>
      <c r="K1566"/>
      <c r="L1566"/>
      <c r="M1566"/>
      <c r="N1566"/>
      <c r="O1566"/>
      <c r="P1566"/>
    </row>
    <row r="1567" spans="1:16" x14ac:dyDescent="0.2">
      <c r="A1567"/>
      <c r="B1567"/>
      <c r="C1567"/>
      <c r="H1567"/>
      <c r="I1567"/>
      <c r="J1567"/>
      <c r="K1567"/>
      <c r="L1567"/>
      <c r="M1567"/>
      <c r="N1567"/>
      <c r="O1567"/>
      <c r="P1567"/>
    </row>
    <row r="1568" spans="1:16" x14ac:dyDescent="0.2">
      <c r="A1568"/>
      <c r="B1568"/>
      <c r="C1568"/>
      <c r="H1568"/>
      <c r="I1568"/>
      <c r="J1568"/>
      <c r="K1568"/>
      <c r="L1568"/>
      <c r="M1568"/>
      <c r="N1568"/>
      <c r="O1568"/>
      <c r="P1568"/>
    </row>
    <row r="1569" spans="1:16" x14ac:dyDescent="0.2">
      <c r="A1569"/>
      <c r="B1569"/>
      <c r="C1569"/>
      <c r="H1569"/>
      <c r="I1569"/>
      <c r="J1569"/>
      <c r="K1569"/>
      <c r="L1569"/>
      <c r="M1569"/>
      <c r="N1569"/>
      <c r="O1569"/>
      <c r="P1569"/>
    </row>
    <row r="1570" spans="1:16" x14ac:dyDescent="0.2">
      <c r="A1570"/>
      <c r="B1570"/>
      <c r="C1570"/>
      <c r="H1570"/>
      <c r="I1570"/>
      <c r="J1570"/>
      <c r="K1570"/>
      <c r="L1570"/>
      <c r="M1570"/>
      <c r="N1570"/>
      <c r="O1570"/>
      <c r="P1570"/>
    </row>
    <row r="1571" spans="1:16" x14ac:dyDescent="0.2">
      <c r="A1571"/>
      <c r="B1571"/>
      <c r="C1571"/>
      <c r="H1571"/>
      <c r="I1571"/>
      <c r="J1571"/>
      <c r="K1571"/>
      <c r="L1571"/>
      <c r="M1571"/>
      <c r="N1571"/>
      <c r="O1571"/>
      <c r="P1571"/>
    </row>
    <row r="1572" spans="1:16" x14ac:dyDescent="0.2">
      <c r="A1572"/>
      <c r="B1572"/>
      <c r="C1572"/>
      <c r="H1572"/>
      <c r="I1572"/>
      <c r="J1572"/>
      <c r="K1572"/>
      <c r="L1572"/>
      <c r="M1572"/>
      <c r="N1572"/>
      <c r="O1572"/>
      <c r="P1572"/>
    </row>
    <row r="1573" spans="1:16" x14ac:dyDescent="0.2">
      <c r="A1573"/>
      <c r="B1573"/>
      <c r="C1573"/>
      <c r="H1573"/>
      <c r="I1573"/>
      <c r="J1573"/>
      <c r="K1573"/>
      <c r="L1573"/>
      <c r="M1573"/>
      <c r="N1573"/>
      <c r="O1573"/>
      <c r="P1573"/>
    </row>
    <row r="1574" spans="1:16" x14ac:dyDescent="0.2">
      <c r="A1574"/>
      <c r="B1574"/>
      <c r="C1574"/>
      <c r="H1574"/>
      <c r="I1574"/>
      <c r="J1574"/>
      <c r="K1574"/>
      <c r="L1574"/>
      <c r="M1574"/>
      <c r="N1574"/>
      <c r="O1574"/>
      <c r="P1574"/>
    </row>
    <row r="1575" spans="1:16" x14ac:dyDescent="0.2">
      <c r="A1575"/>
      <c r="B1575"/>
      <c r="C1575"/>
      <c r="H1575"/>
      <c r="I1575"/>
      <c r="J1575"/>
      <c r="K1575"/>
      <c r="L1575"/>
      <c r="M1575"/>
      <c r="N1575"/>
      <c r="O1575"/>
      <c r="P1575"/>
    </row>
    <row r="1576" spans="1:16" x14ac:dyDescent="0.2">
      <c r="A1576"/>
      <c r="B1576"/>
      <c r="C1576"/>
      <c r="H1576"/>
      <c r="I1576"/>
      <c r="J1576"/>
      <c r="K1576"/>
      <c r="L1576"/>
      <c r="M1576"/>
      <c r="N1576"/>
      <c r="O1576"/>
      <c r="P1576"/>
    </row>
    <row r="1577" spans="1:16" x14ac:dyDescent="0.2">
      <c r="A1577"/>
      <c r="B1577"/>
      <c r="C1577"/>
      <c r="H1577"/>
      <c r="I1577"/>
      <c r="J1577"/>
      <c r="K1577"/>
      <c r="L1577"/>
      <c r="M1577"/>
      <c r="N1577"/>
      <c r="O1577"/>
      <c r="P1577"/>
    </row>
    <row r="1578" spans="1:16" x14ac:dyDescent="0.2">
      <c r="A1578"/>
      <c r="B1578"/>
      <c r="C1578"/>
      <c r="H1578"/>
      <c r="I1578"/>
      <c r="J1578"/>
      <c r="K1578"/>
      <c r="L1578"/>
      <c r="M1578"/>
      <c r="N1578"/>
      <c r="O1578"/>
      <c r="P1578"/>
    </row>
    <row r="1579" spans="1:16" x14ac:dyDescent="0.2">
      <c r="A1579"/>
      <c r="B1579"/>
      <c r="C1579"/>
      <c r="H1579"/>
      <c r="I1579"/>
      <c r="J1579"/>
      <c r="K1579"/>
      <c r="L1579"/>
      <c r="M1579"/>
      <c r="N1579"/>
      <c r="O1579"/>
      <c r="P1579"/>
    </row>
    <row r="1580" spans="1:16" x14ac:dyDescent="0.2">
      <c r="A1580"/>
      <c r="B1580"/>
      <c r="C1580"/>
      <c r="H1580"/>
      <c r="I1580"/>
      <c r="J1580"/>
      <c r="K1580"/>
      <c r="L1580"/>
      <c r="M1580"/>
      <c r="N1580"/>
      <c r="O1580"/>
      <c r="P1580"/>
    </row>
    <row r="1581" spans="1:16" x14ac:dyDescent="0.2">
      <c r="A1581"/>
      <c r="B1581"/>
      <c r="C1581"/>
      <c r="H1581"/>
      <c r="I1581"/>
      <c r="J1581"/>
      <c r="K1581"/>
      <c r="L1581"/>
      <c r="M1581"/>
      <c r="N1581"/>
      <c r="O1581"/>
      <c r="P1581"/>
    </row>
    <row r="1582" spans="1:16" x14ac:dyDescent="0.2">
      <c r="A1582"/>
      <c r="B1582"/>
      <c r="C1582"/>
      <c r="H1582"/>
      <c r="I1582"/>
      <c r="J1582"/>
      <c r="K1582"/>
      <c r="L1582"/>
      <c r="M1582"/>
      <c r="N1582"/>
      <c r="O1582"/>
      <c r="P1582"/>
    </row>
    <row r="1583" spans="1:16" x14ac:dyDescent="0.2">
      <c r="A1583"/>
      <c r="B1583"/>
      <c r="C1583"/>
      <c r="H1583"/>
      <c r="I1583"/>
      <c r="J1583"/>
      <c r="K1583"/>
      <c r="L1583"/>
      <c r="M1583"/>
      <c r="N1583"/>
      <c r="O1583"/>
      <c r="P1583"/>
    </row>
    <row r="1584" spans="1:16" x14ac:dyDescent="0.2">
      <c r="A1584"/>
      <c r="B1584"/>
      <c r="C1584"/>
      <c r="H1584"/>
      <c r="I1584"/>
      <c r="J1584"/>
      <c r="K1584"/>
      <c r="L1584"/>
      <c r="M1584"/>
      <c r="N1584"/>
      <c r="O1584"/>
      <c r="P1584"/>
    </row>
    <row r="1585" spans="1:16" x14ac:dyDescent="0.2">
      <c r="A1585"/>
      <c r="B1585"/>
      <c r="C1585"/>
      <c r="H1585"/>
      <c r="I1585"/>
      <c r="J1585"/>
      <c r="K1585"/>
      <c r="L1585"/>
      <c r="M1585"/>
      <c r="N1585"/>
      <c r="O1585"/>
      <c r="P1585"/>
    </row>
    <row r="1586" spans="1:16" x14ac:dyDescent="0.2">
      <c r="A1586"/>
      <c r="B1586"/>
      <c r="C1586"/>
      <c r="H1586"/>
      <c r="I1586"/>
      <c r="J1586"/>
      <c r="K1586"/>
      <c r="L1586"/>
      <c r="M1586"/>
      <c r="N1586"/>
      <c r="O1586"/>
      <c r="P1586"/>
    </row>
    <row r="1587" spans="1:16" x14ac:dyDescent="0.2">
      <c r="A1587"/>
      <c r="B1587"/>
      <c r="C1587"/>
      <c r="H1587"/>
      <c r="I1587"/>
      <c r="J1587"/>
      <c r="K1587"/>
      <c r="L1587"/>
      <c r="M1587"/>
      <c r="N1587"/>
      <c r="O1587"/>
      <c r="P1587"/>
    </row>
    <row r="1588" spans="1:16" x14ac:dyDescent="0.2">
      <c r="A1588"/>
      <c r="B1588"/>
      <c r="C1588"/>
      <c r="H1588"/>
      <c r="I1588"/>
      <c r="J1588"/>
      <c r="K1588"/>
      <c r="L1588"/>
      <c r="M1588"/>
      <c r="N1588"/>
      <c r="O1588"/>
      <c r="P1588"/>
    </row>
    <row r="1589" spans="1:16" x14ac:dyDescent="0.2">
      <c r="A1589"/>
      <c r="B1589"/>
      <c r="C1589"/>
      <c r="H1589"/>
      <c r="I1589"/>
      <c r="J1589"/>
      <c r="K1589"/>
      <c r="L1589"/>
      <c r="M1589"/>
      <c r="N1589"/>
      <c r="O1589"/>
      <c r="P1589"/>
    </row>
    <row r="1590" spans="1:16" x14ac:dyDescent="0.2">
      <c r="A1590"/>
      <c r="B1590"/>
      <c r="C1590"/>
      <c r="H1590"/>
      <c r="I1590"/>
      <c r="J1590"/>
      <c r="K1590"/>
      <c r="L1590"/>
      <c r="M1590"/>
      <c r="N1590"/>
      <c r="O1590"/>
      <c r="P1590"/>
    </row>
    <row r="1591" spans="1:16" x14ac:dyDescent="0.2">
      <c r="A1591"/>
      <c r="B1591"/>
      <c r="C1591"/>
      <c r="H1591"/>
      <c r="I1591"/>
      <c r="J1591"/>
      <c r="K1591"/>
      <c r="L1591"/>
      <c r="M1591"/>
      <c r="N1591"/>
      <c r="O1591"/>
      <c r="P1591"/>
    </row>
    <row r="1592" spans="1:16" x14ac:dyDescent="0.2">
      <c r="A1592"/>
      <c r="B1592"/>
      <c r="C1592"/>
      <c r="H1592"/>
      <c r="I1592"/>
      <c r="J1592"/>
      <c r="K1592"/>
      <c r="L1592"/>
      <c r="M1592"/>
      <c r="N1592"/>
      <c r="O1592"/>
      <c r="P1592"/>
    </row>
    <row r="1593" spans="1:16" x14ac:dyDescent="0.2">
      <c r="A1593"/>
      <c r="B1593"/>
      <c r="C1593"/>
      <c r="H1593"/>
      <c r="I1593"/>
      <c r="J1593"/>
      <c r="K1593"/>
      <c r="L1593"/>
      <c r="M1593"/>
      <c r="N1593"/>
      <c r="O1593"/>
      <c r="P1593"/>
    </row>
    <row r="1594" spans="1:16" x14ac:dyDescent="0.2">
      <c r="A1594"/>
      <c r="B1594"/>
      <c r="C1594"/>
      <c r="H1594"/>
      <c r="I1594"/>
      <c r="J1594"/>
      <c r="K1594"/>
      <c r="L1594"/>
      <c r="M1594"/>
      <c r="N1594"/>
      <c r="O1594"/>
      <c r="P1594"/>
    </row>
    <row r="1595" spans="1:16" x14ac:dyDescent="0.2">
      <c r="A1595"/>
      <c r="B1595"/>
      <c r="C1595"/>
      <c r="H1595"/>
      <c r="I1595"/>
      <c r="J1595"/>
      <c r="K1595"/>
      <c r="L1595"/>
      <c r="M1595"/>
      <c r="N1595"/>
      <c r="O1595"/>
      <c r="P1595"/>
    </row>
    <row r="1596" spans="1:16" x14ac:dyDescent="0.2">
      <c r="A1596"/>
      <c r="B1596"/>
      <c r="C1596"/>
      <c r="H1596"/>
      <c r="I1596"/>
      <c r="J1596"/>
      <c r="K1596"/>
      <c r="L1596"/>
      <c r="M1596"/>
      <c r="N1596"/>
      <c r="O1596"/>
      <c r="P1596"/>
    </row>
    <row r="1597" spans="1:16" x14ac:dyDescent="0.2">
      <c r="A1597"/>
      <c r="B1597"/>
      <c r="C1597"/>
      <c r="H1597"/>
      <c r="I1597"/>
      <c r="J1597"/>
      <c r="K1597"/>
      <c r="L1597"/>
      <c r="M1597"/>
      <c r="N1597"/>
      <c r="O1597"/>
      <c r="P1597"/>
    </row>
    <row r="1598" spans="1:16" x14ac:dyDescent="0.2">
      <c r="A1598"/>
      <c r="B1598"/>
      <c r="C1598"/>
      <c r="H1598"/>
      <c r="I1598"/>
      <c r="J1598"/>
      <c r="K1598"/>
      <c r="L1598"/>
      <c r="M1598"/>
      <c r="N1598"/>
      <c r="O1598"/>
      <c r="P1598"/>
    </row>
    <row r="1599" spans="1:16" x14ac:dyDescent="0.2">
      <c r="A1599"/>
      <c r="B1599"/>
      <c r="C1599"/>
      <c r="H1599"/>
      <c r="I1599"/>
      <c r="J1599"/>
      <c r="K1599"/>
      <c r="L1599"/>
      <c r="M1599"/>
      <c r="N1599"/>
      <c r="O1599"/>
      <c r="P1599"/>
    </row>
    <row r="1600" spans="1:16" x14ac:dyDescent="0.2">
      <c r="A1600"/>
      <c r="B1600"/>
      <c r="C1600"/>
      <c r="H1600"/>
      <c r="I1600"/>
      <c r="J1600"/>
      <c r="K1600"/>
      <c r="L1600"/>
      <c r="M1600"/>
      <c r="N1600"/>
      <c r="O1600"/>
      <c r="P1600"/>
    </row>
    <row r="1601" spans="1:16" x14ac:dyDescent="0.2">
      <c r="A1601"/>
      <c r="B1601"/>
      <c r="C1601"/>
      <c r="H1601"/>
      <c r="I1601"/>
      <c r="J1601"/>
      <c r="K1601"/>
      <c r="L1601"/>
      <c r="M1601"/>
      <c r="N1601"/>
      <c r="O1601"/>
      <c r="P1601"/>
    </row>
    <row r="1602" spans="1:16" x14ac:dyDescent="0.2">
      <c r="A1602"/>
      <c r="B1602"/>
      <c r="C1602"/>
      <c r="H1602"/>
      <c r="I1602"/>
      <c r="J1602"/>
      <c r="K1602"/>
      <c r="L1602"/>
      <c r="M1602"/>
      <c r="N1602"/>
      <c r="O1602"/>
      <c r="P1602"/>
    </row>
    <row r="1603" spans="1:16" x14ac:dyDescent="0.2">
      <c r="A1603"/>
      <c r="B1603"/>
      <c r="C1603"/>
      <c r="H1603"/>
      <c r="I1603"/>
      <c r="J1603"/>
      <c r="K1603"/>
      <c r="L1603"/>
      <c r="M1603"/>
      <c r="N1603"/>
      <c r="O1603"/>
      <c r="P1603"/>
    </row>
    <row r="1604" spans="1:16" x14ac:dyDescent="0.2">
      <c r="A1604"/>
      <c r="B1604"/>
      <c r="C1604"/>
      <c r="H1604"/>
      <c r="I1604"/>
      <c r="J1604"/>
      <c r="K1604"/>
      <c r="L1604"/>
      <c r="M1604"/>
      <c r="N1604"/>
      <c r="O1604"/>
      <c r="P1604"/>
    </row>
    <row r="1605" spans="1:16" x14ac:dyDescent="0.2">
      <c r="A1605"/>
      <c r="B1605"/>
      <c r="C1605"/>
      <c r="H1605"/>
      <c r="I1605"/>
      <c r="J1605"/>
      <c r="K1605"/>
      <c r="L1605"/>
      <c r="M1605"/>
      <c r="N1605"/>
      <c r="O1605"/>
      <c r="P1605"/>
    </row>
    <row r="1606" spans="1:16" x14ac:dyDescent="0.2">
      <c r="A1606"/>
      <c r="B1606"/>
      <c r="C1606"/>
      <c r="H1606"/>
      <c r="I1606"/>
      <c r="J1606"/>
      <c r="K1606"/>
      <c r="L1606"/>
      <c r="M1606"/>
      <c r="N1606"/>
      <c r="O1606"/>
      <c r="P1606"/>
    </row>
    <row r="1607" spans="1:16" x14ac:dyDescent="0.2">
      <c r="A1607"/>
      <c r="B1607"/>
      <c r="C1607"/>
      <c r="H1607"/>
      <c r="I1607"/>
      <c r="J1607"/>
      <c r="K1607"/>
      <c r="L1607"/>
      <c r="M1607"/>
      <c r="N1607"/>
      <c r="O1607"/>
      <c r="P1607"/>
    </row>
    <row r="1608" spans="1:16" x14ac:dyDescent="0.2">
      <c r="A1608"/>
      <c r="B1608"/>
      <c r="C1608"/>
      <c r="H1608"/>
      <c r="I1608"/>
      <c r="J1608"/>
      <c r="K1608"/>
      <c r="L1608"/>
      <c r="M1608"/>
      <c r="N1608"/>
      <c r="O1608"/>
      <c r="P1608"/>
    </row>
    <row r="1609" spans="1:16" x14ac:dyDescent="0.2">
      <c r="A1609"/>
      <c r="B1609"/>
      <c r="C1609"/>
      <c r="H1609"/>
      <c r="I1609"/>
      <c r="J1609"/>
      <c r="K1609"/>
      <c r="L1609"/>
      <c r="M1609"/>
      <c r="N1609"/>
      <c r="O1609"/>
      <c r="P1609"/>
    </row>
    <row r="1610" spans="1:16" x14ac:dyDescent="0.2">
      <c r="A1610"/>
      <c r="B1610"/>
      <c r="C1610"/>
      <c r="H1610"/>
      <c r="I1610"/>
      <c r="J1610"/>
      <c r="K1610"/>
      <c r="L1610"/>
      <c r="M1610"/>
      <c r="N1610"/>
      <c r="O1610"/>
      <c r="P1610"/>
    </row>
    <row r="1611" spans="1:16" x14ac:dyDescent="0.2">
      <c r="A1611"/>
      <c r="B1611"/>
      <c r="C1611"/>
      <c r="H1611"/>
      <c r="I1611"/>
      <c r="J1611"/>
      <c r="K1611"/>
      <c r="L1611"/>
      <c r="M1611"/>
      <c r="N1611"/>
      <c r="O1611"/>
      <c r="P1611"/>
    </row>
    <row r="1612" spans="1:16" x14ac:dyDescent="0.2">
      <c r="A1612"/>
      <c r="B1612"/>
      <c r="C1612"/>
      <c r="H1612"/>
      <c r="I1612"/>
      <c r="J1612"/>
      <c r="K1612"/>
      <c r="L1612"/>
      <c r="M1612"/>
      <c r="N1612"/>
      <c r="O1612"/>
      <c r="P1612"/>
    </row>
    <row r="1613" spans="1:16" x14ac:dyDescent="0.2">
      <c r="A1613"/>
      <c r="B1613"/>
      <c r="C1613"/>
      <c r="H1613"/>
      <c r="I1613"/>
      <c r="J1613"/>
      <c r="K1613"/>
      <c r="L1613"/>
      <c r="M1613"/>
      <c r="N1613"/>
      <c r="O1613"/>
      <c r="P1613"/>
    </row>
    <row r="1614" spans="1:16" x14ac:dyDescent="0.2">
      <c r="A1614"/>
      <c r="B1614"/>
      <c r="C1614"/>
      <c r="H1614"/>
      <c r="I1614"/>
      <c r="J1614"/>
      <c r="K1614"/>
      <c r="L1614"/>
      <c r="M1614"/>
      <c r="N1614"/>
      <c r="O1614"/>
      <c r="P1614"/>
    </row>
    <row r="1615" spans="1:16" x14ac:dyDescent="0.2">
      <c r="A1615"/>
      <c r="B1615"/>
      <c r="C1615"/>
      <c r="H1615"/>
      <c r="I1615"/>
      <c r="J1615"/>
      <c r="K1615"/>
      <c r="L1615"/>
      <c r="M1615"/>
      <c r="N1615"/>
      <c r="O1615"/>
      <c r="P1615"/>
    </row>
    <row r="1616" spans="1:16" x14ac:dyDescent="0.2">
      <c r="A1616"/>
      <c r="B1616"/>
      <c r="C1616"/>
      <c r="H1616"/>
      <c r="I1616"/>
      <c r="J1616"/>
      <c r="K1616"/>
      <c r="L1616"/>
      <c r="M1616"/>
      <c r="N1616"/>
      <c r="O1616"/>
      <c r="P1616"/>
    </row>
    <row r="1617" spans="1:16" x14ac:dyDescent="0.2">
      <c r="A1617"/>
      <c r="B1617"/>
      <c r="C1617"/>
      <c r="H1617"/>
      <c r="I1617"/>
      <c r="J1617"/>
      <c r="K1617"/>
      <c r="L1617"/>
      <c r="M1617"/>
      <c r="N1617"/>
      <c r="O1617"/>
      <c r="P1617"/>
    </row>
    <row r="1618" spans="1:16" x14ac:dyDescent="0.2">
      <c r="A1618"/>
      <c r="B1618"/>
      <c r="C1618"/>
      <c r="H1618"/>
      <c r="I1618"/>
      <c r="J1618"/>
      <c r="K1618"/>
      <c r="L1618"/>
      <c r="M1618"/>
      <c r="N1618"/>
      <c r="O1618"/>
      <c r="P1618"/>
    </row>
    <row r="1619" spans="1:16" x14ac:dyDescent="0.2">
      <c r="A1619"/>
      <c r="B1619"/>
      <c r="C1619"/>
      <c r="H1619"/>
      <c r="I1619"/>
      <c r="J1619"/>
      <c r="K1619"/>
      <c r="L1619"/>
      <c r="M1619"/>
      <c r="N1619"/>
      <c r="O1619"/>
      <c r="P1619"/>
    </row>
    <row r="1620" spans="1:16" x14ac:dyDescent="0.2">
      <c r="A1620"/>
      <c r="B1620"/>
      <c r="C1620"/>
      <c r="H1620"/>
      <c r="I1620"/>
      <c r="J1620"/>
      <c r="K1620"/>
      <c r="L1620"/>
      <c r="M1620"/>
      <c r="N1620"/>
      <c r="O1620"/>
      <c r="P1620"/>
    </row>
    <row r="1621" spans="1:16" x14ac:dyDescent="0.2">
      <c r="A1621"/>
      <c r="B1621"/>
      <c r="C1621"/>
      <c r="H1621"/>
      <c r="I1621"/>
      <c r="J1621"/>
      <c r="K1621"/>
      <c r="L1621"/>
      <c r="M1621"/>
      <c r="N1621"/>
      <c r="O1621"/>
      <c r="P1621"/>
    </row>
    <row r="1622" spans="1:16" x14ac:dyDescent="0.2">
      <c r="A1622"/>
      <c r="B1622"/>
      <c r="C1622"/>
      <c r="H1622"/>
      <c r="I1622"/>
      <c r="J1622"/>
      <c r="K1622"/>
      <c r="L1622"/>
      <c r="M1622"/>
      <c r="N1622"/>
      <c r="O1622"/>
      <c r="P1622"/>
    </row>
    <row r="1623" spans="1:16" x14ac:dyDescent="0.2">
      <c r="A1623"/>
      <c r="B1623"/>
      <c r="C1623"/>
      <c r="H1623"/>
      <c r="I1623"/>
      <c r="J1623"/>
      <c r="K1623"/>
      <c r="L1623"/>
      <c r="M1623"/>
      <c r="N1623"/>
      <c r="O1623"/>
      <c r="P1623"/>
    </row>
    <row r="1624" spans="1:16" x14ac:dyDescent="0.2">
      <c r="A1624"/>
      <c r="B1624"/>
      <c r="C1624"/>
      <c r="H1624"/>
      <c r="I1624"/>
      <c r="J1624"/>
      <c r="K1624"/>
      <c r="L1624"/>
      <c r="M1624"/>
      <c r="N1624"/>
      <c r="O1624"/>
      <c r="P1624"/>
    </row>
    <row r="1625" spans="1:16" x14ac:dyDescent="0.2">
      <c r="A1625"/>
      <c r="B1625"/>
      <c r="C1625"/>
      <c r="H1625"/>
      <c r="I1625"/>
      <c r="J1625"/>
      <c r="K1625"/>
      <c r="L1625"/>
      <c r="M1625"/>
      <c r="N1625"/>
      <c r="O1625"/>
      <c r="P1625"/>
    </row>
    <row r="1626" spans="1:16" x14ac:dyDescent="0.2">
      <c r="A1626"/>
      <c r="B1626"/>
      <c r="C1626"/>
      <c r="H1626"/>
      <c r="I1626"/>
      <c r="J1626"/>
      <c r="K1626"/>
      <c r="L1626"/>
      <c r="M1626"/>
      <c r="N1626"/>
      <c r="O1626"/>
      <c r="P1626"/>
    </row>
    <row r="1627" spans="1:16" x14ac:dyDescent="0.2">
      <c r="A1627"/>
      <c r="B1627"/>
      <c r="C1627"/>
      <c r="H1627"/>
      <c r="I1627"/>
      <c r="J1627"/>
      <c r="K1627"/>
      <c r="L1627"/>
      <c r="M1627"/>
      <c r="N1627"/>
      <c r="O1627"/>
      <c r="P1627"/>
    </row>
    <row r="1628" spans="1:16" x14ac:dyDescent="0.2">
      <c r="A1628"/>
      <c r="B1628"/>
      <c r="C1628"/>
      <c r="H1628"/>
      <c r="I1628"/>
      <c r="J1628"/>
      <c r="K1628"/>
      <c r="L1628"/>
      <c r="M1628"/>
      <c r="N1628"/>
      <c r="O1628"/>
      <c r="P1628"/>
    </row>
    <row r="1629" spans="1:16" x14ac:dyDescent="0.2">
      <c r="A1629"/>
      <c r="B1629"/>
      <c r="C1629"/>
      <c r="H1629"/>
      <c r="I1629"/>
      <c r="J1629"/>
      <c r="K1629"/>
      <c r="L1629"/>
      <c r="M1629"/>
      <c r="N1629"/>
      <c r="O1629"/>
      <c r="P1629"/>
    </row>
    <row r="1630" spans="1:16" x14ac:dyDescent="0.2">
      <c r="A1630"/>
      <c r="B1630"/>
      <c r="C1630"/>
      <c r="H1630"/>
      <c r="I1630"/>
      <c r="J1630"/>
      <c r="K1630"/>
      <c r="L1630"/>
      <c r="M1630"/>
      <c r="N1630"/>
      <c r="O1630"/>
      <c r="P1630"/>
    </row>
    <row r="1631" spans="1:16" x14ac:dyDescent="0.2">
      <c r="A1631"/>
      <c r="B1631"/>
      <c r="C1631"/>
      <c r="H1631"/>
      <c r="I1631"/>
      <c r="J1631"/>
      <c r="K1631"/>
      <c r="L1631"/>
      <c r="M1631"/>
      <c r="N1631"/>
      <c r="O1631"/>
      <c r="P1631"/>
    </row>
    <row r="1632" spans="1:16" x14ac:dyDescent="0.2">
      <c r="A1632"/>
      <c r="B1632"/>
      <c r="C1632"/>
      <c r="H1632"/>
      <c r="I1632"/>
      <c r="J1632"/>
      <c r="K1632"/>
      <c r="L1632"/>
      <c r="M1632"/>
      <c r="N1632"/>
      <c r="O1632"/>
      <c r="P1632"/>
    </row>
    <row r="1633" spans="1:16" x14ac:dyDescent="0.2">
      <c r="A1633"/>
      <c r="B1633"/>
      <c r="C1633"/>
      <c r="H1633"/>
      <c r="I1633"/>
      <c r="J1633"/>
      <c r="K1633"/>
      <c r="L1633"/>
      <c r="M1633"/>
      <c r="N1633"/>
      <c r="O1633"/>
      <c r="P1633"/>
    </row>
    <row r="1634" spans="1:16" x14ac:dyDescent="0.2">
      <c r="A1634"/>
      <c r="B1634"/>
      <c r="C1634"/>
      <c r="H1634"/>
      <c r="I1634"/>
      <c r="J1634"/>
      <c r="K1634"/>
      <c r="L1634"/>
      <c r="M1634"/>
      <c r="N1634"/>
      <c r="O1634"/>
      <c r="P1634"/>
    </row>
    <row r="1635" spans="1:16" x14ac:dyDescent="0.2">
      <c r="A1635"/>
      <c r="B1635"/>
      <c r="C1635"/>
      <c r="H1635"/>
      <c r="I1635"/>
      <c r="J1635"/>
      <c r="K1635"/>
      <c r="L1635"/>
      <c r="M1635"/>
      <c r="N1635"/>
      <c r="O1635"/>
      <c r="P1635"/>
    </row>
    <row r="1636" spans="1:16" x14ac:dyDescent="0.2">
      <c r="A1636"/>
      <c r="B1636"/>
      <c r="C1636"/>
      <c r="H1636"/>
      <c r="I1636"/>
      <c r="J1636"/>
      <c r="K1636"/>
      <c r="L1636"/>
      <c r="M1636"/>
      <c r="N1636"/>
      <c r="O1636"/>
      <c r="P1636"/>
    </row>
    <row r="1637" spans="1:16" x14ac:dyDescent="0.2">
      <c r="A1637"/>
      <c r="B1637"/>
      <c r="C1637"/>
      <c r="H1637"/>
      <c r="I1637"/>
      <c r="J1637"/>
      <c r="K1637"/>
      <c r="L1637"/>
      <c r="M1637"/>
      <c r="N1637"/>
      <c r="O1637"/>
      <c r="P1637"/>
    </row>
    <row r="1638" spans="1:16" x14ac:dyDescent="0.2">
      <c r="A1638"/>
      <c r="B1638"/>
      <c r="C1638"/>
      <c r="H1638"/>
      <c r="I1638"/>
      <c r="J1638"/>
      <c r="K1638"/>
      <c r="L1638"/>
      <c r="M1638"/>
      <c r="N1638"/>
      <c r="O1638"/>
      <c r="P1638"/>
    </row>
    <row r="1639" spans="1:16" x14ac:dyDescent="0.2">
      <c r="A1639"/>
      <c r="B1639"/>
      <c r="C1639"/>
      <c r="H1639"/>
      <c r="I1639"/>
      <c r="J1639"/>
      <c r="K1639"/>
      <c r="L1639"/>
      <c r="M1639"/>
      <c r="N1639"/>
      <c r="O1639"/>
      <c r="P1639"/>
    </row>
    <row r="1640" spans="1:16" x14ac:dyDescent="0.2">
      <c r="A1640"/>
      <c r="B1640"/>
      <c r="C1640"/>
      <c r="H1640"/>
      <c r="I1640"/>
      <c r="J1640"/>
      <c r="K1640"/>
      <c r="L1640"/>
      <c r="M1640"/>
      <c r="N1640"/>
      <c r="O1640"/>
      <c r="P1640"/>
    </row>
    <row r="1641" spans="1:16" x14ac:dyDescent="0.2">
      <c r="A1641"/>
      <c r="B1641"/>
      <c r="C1641"/>
      <c r="H1641"/>
      <c r="I1641"/>
      <c r="J1641"/>
      <c r="K1641"/>
      <c r="L1641"/>
      <c r="M1641"/>
      <c r="N1641"/>
      <c r="O1641"/>
      <c r="P1641"/>
    </row>
    <row r="1642" spans="1:16" x14ac:dyDescent="0.2">
      <c r="A1642"/>
      <c r="B1642"/>
      <c r="C1642"/>
      <c r="H1642"/>
      <c r="I1642"/>
      <c r="J1642"/>
      <c r="K1642"/>
      <c r="L1642"/>
      <c r="M1642"/>
      <c r="N1642"/>
      <c r="O1642"/>
      <c r="P1642"/>
    </row>
    <row r="1643" spans="1:16" x14ac:dyDescent="0.2">
      <c r="A1643"/>
      <c r="B1643"/>
      <c r="C1643"/>
      <c r="H1643"/>
      <c r="I1643"/>
      <c r="J1643"/>
      <c r="K1643"/>
      <c r="L1643"/>
      <c r="M1643"/>
      <c r="N1643"/>
      <c r="O1643"/>
      <c r="P1643"/>
    </row>
    <row r="1644" spans="1:16" x14ac:dyDescent="0.2">
      <c r="A1644"/>
      <c r="B1644"/>
      <c r="C1644"/>
      <c r="H1644"/>
      <c r="I1644"/>
      <c r="J1644"/>
      <c r="K1644"/>
      <c r="L1644"/>
      <c r="M1644"/>
      <c r="N1644"/>
      <c r="O1644"/>
      <c r="P1644"/>
    </row>
    <row r="1645" spans="1:16" x14ac:dyDescent="0.2">
      <c r="A1645"/>
      <c r="B1645"/>
      <c r="C1645"/>
      <c r="H1645"/>
      <c r="I1645"/>
      <c r="J1645"/>
      <c r="K1645"/>
      <c r="L1645"/>
      <c r="M1645"/>
      <c r="N1645"/>
      <c r="O1645"/>
      <c r="P1645"/>
    </row>
    <row r="1646" spans="1:16" x14ac:dyDescent="0.2">
      <c r="A1646"/>
      <c r="B1646"/>
      <c r="C1646"/>
      <c r="H1646"/>
      <c r="I1646"/>
      <c r="J1646"/>
      <c r="K1646"/>
      <c r="L1646"/>
      <c r="M1646"/>
      <c r="N1646"/>
      <c r="O1646"/>
      <c r="P1646"/>
    </row>
    <row r="1647" spans="1:16" x14ac:dyDescent="0.2">
      <c r="A1647"/>
      <c r="B1647"/>
      <c r="C1647"/>
      <c r="H1647"/>
      <c r="I1647"/>
      <c r="J1647"/>
      <c r="K1647"/>
      <c r="L1647"/>
      <c r="M1647"/>
      <c r="N1647"/>
      <c r="O1647"/>
      <c r="P1647"/>
    </row>
    <row r="1648" spans="1:16" x14ac:dyDescent="0.2">
      <c r="A1648"/>
      <c r="B1648"/>
      <c r="C1648"/>
      <c r="H1648"/>
      <c r="I1648"/>
      <c r="J1648"/>
      <c r="K1648"/>
      <c r="L1648"/>
      <c r="M1648"/>
      <c r="N1648"/>
      <c r="O1648"/>
      <c r="P1648"/>
    </row>
    <row r="1649" spans="1:16" x14ac:dyDescent="0.2">
      <c r="A1649"/>
      <c r="B1649"/>
      <c r="C1649"/>
      <c r="H1649"/>
      <c r="I1649"/>
      <c r="J1649"/>
      <c r="K1649"/>
      <c r="L1649"/>
      <c r="M1649"/>
      <c r="N1649"/>
      <c r="O1649"/>
      <c r="P1649"/>
    </row>
    <row r="1650" spans="1:16" x14ac:dyDescent="0.2">
      <c r="A1650"/>
      <c r="B1650"/>
      <c r="C1650"/>
      <c r="H1650"/>
      <c r="I1650"/>
      <c r="J1650"/>
      <c r="K1650"/>
      <c r="L1650"/>
      <c r="M1650"/>
      <c r="N1650"/>
      <c r="O1650"/>
      <c r="P1650"/>
    </row>
    <row r="1651" spans="1:16" x14ac:dyDescent="0.2">
      <c r="A1651"/>
      <c r="B1651"/>
      <c r="C1651"/>
      <c r="H1651"/>
      <c r="I1651"/>
      <c r="J1651"/>
      <c r="K1651"/>
      <c r="L1651"/>
      <c r="M1651"/>
      <c r="N1651"/>
      <c r="O1651"/>
      <c r="P1651"/>
    </row>
    <row r="1652" spans="1:16" x14ac:dyDescent="0.2">
      <c r="A1652"/>
      <c r="B1652"/>
      <c r="C1652"/>
      <c r="H1652"/>
      <c r="I1652"/>
      <c r="J1652"/>
      <c r="K1652"/>
      <c r="L1652"/>
      <c r="M1652"/>
      <c r="N1652"/>
      <c r="O1652"/>
      <c r="P1652"/>
    </row>
    <row r="1653" spans="1:16" x14ac:dyDescent="0.2">
      <c r="A1653"/>
      <c r="B1653"/>
      <c r="C1653"/>
      <c r="H1653"/>
      <c r="I1653"/>
      <c r="J1653"/>
      <c r="K1653"/>
      <c r="L1653"/>
      <c r="M1653"/>
      <c r="N1653"/>
      <c r="O1653"/>
      <c r="P1653"/>
    </row>
    <row r="1654" spans="1:16" x14ac:dyDescent="0.2">
      <c r="A1654"/>
      <c r="B1654"/>
      <c r="C1654"/>
      <c r="H1654"/>
      <c r="I1654"/>
      <c r="J1654"/>
      <c r="K1654"/>
      <c r="L1654"/>
      <c r="M1654"/>
      <c r="N1654"/>
      <c r="O1654"/>
      <c r="P1654"/>
    </row>
    <row r="1655" spans="1:16" x14ac:dyDescent="0.2">
      <c r="A1655"/>
      <c r="B1655"/>
      <c r="C1655"/>
      <c r="H1655"/>
      <c r="I1655"/>
      <c r="J1655"/>
      <c r="K1655"/>
      <c r="L1655"/>
      <c r="M1655"/>
      <c r="N1655"/>
      <c r="O1655"/>
      <c r="P1655"/>
    </row>
    <row r="1656" spans="1:16" x14ac:dyDescent="0.2">
      <c r="A1656"/>
      <c r="B1656"/>
      <c r="C1656"/>
      <c r="H1656"/>
      <c r="I1656"/>
      <c r="J1656"/>
      <c r="K1656"/>
      <c r="L1656"/>
      <c r="M1656"/>
      <c r="N1656"/>
      <c r="O1656"/>
      <c r="P1656"/>
    </row>
    <row r="1657" spans="1:16" x14ac:dyDescent="0.2">
      <c r="A1657"/>
      <c r="B1657"/>
      <c r="C1657"/>
      <c r="H1657"/>
      <c r="I1657"/>
      <c r="J1657"/>
      <c r="K1657"/>
      <c r="L1657"/>
      <c r="M1657"/>
      <c r="N1657"/>
      <c r="O1657"/>
      <c r="P1657"/>
    </row>
    <row r="1658" spans="1:16" x14ac:dyDescent="0.2">
      <c r="A1658"/>
      <c r="B1658"/>
      <c r="C1658"/>
      <c r="H1658"/>
      <c r="I1658"/>
      <c r="J1658"/>
      <c r="K1658"/>
      <c r="L1658"/>
      <c r="M1658"/>
      <c r="N1658"/>
      <c r="O1658"/>
      <c r="P1658"/>
    </row>
    <row r="1659" spans="1:16" x14ac:dyDescent="0.2">
      <c r="A1659"/>
      <c r="B1659"/>
      <c r="C1659"/>
      <c r="H1659"/>
      <c r="I1659"/>
      <c r="J1659"/>
      <c r="K1659"/>
      <c r="L1659"/>
      <c r="M1659"/>
      <c r="N1659"/>
      <c r="O1659"/>
      <c r="P1659"/>
    </row>
    <row r="1660" spans="1:16" x14ac:dyDescent="0.2">
      <c r="A1660"/>
      <c r="B1660"/>
      <c r="C1660"/>
      <c r="H1660"/>
      <c r="I1660"/>
      <c r="J1660"/>
      <c r="K1660"/>
      <c r="L1660"/>
      <c r="M1660"/>
      <c r="N1660"/>
      <c r="O1660"/>
      <c r="P1660"/>
    </row>
    <row r="1661" spans="1:16" x14ac:dyDescent="0.2">
      <c r="A1661"/>
      <c r="B1661"/>
      <c r="C1661"/>
      <c r="H1661"/>
      <c r="I1661"/>
      <c r="J1661"/>
      <c r="K1661"/>
      <c r="L1661"/>
      <c r="M1661"/>
      <c r="N1661"/>
      <c r="O1661"/>
      <c r="P1661"/>
    </row>
    <row r="1662" spans="1:16" x14ac:dyDescent="0.2">
      <c r="A1662"/>
      <c r="B1662"/>
      <c r="C1662"/>
      <c r="H1662"/>
      <c r="I1662"/>
      <c r="J1662"/>
      <c r="K1662"/>
      <c r="L1662"/>
      <c r="M1662"/>
      <c r="N1662"/>
      <c r="O1662"/>
      <c r="P1662"/>
    </row>
    <row r="1663" spans="1:16" x14ac:dyDescent="0.2">
      <c r="A1663"/>
      <c r="B1663"/>
      <c r="C1663"/>
      <c r="H1663"/>
      <c r="I1663"/>
      <c r="J1663"/>
      <c r="K1663"/>
      <c r="L1663"/>
      <c r="M1663"/>
      <c r="N1663"/>
      <c r="O1663"/>
      <c r="P1663"/>
    </row>
    <row r="1664" spans="1:16" x14ac:dyDescent="0.2">
      <c r="A1664"/>
      <c r="B1664"/>
      <c r="C1664"/>
      <c r="H1664"/>
      <c r="I1664"/>
      <c r="J1664"/>
      <c r="K1664"/>
      <c r="L1664"/>
      <c r="M1664"/>
      <c r="N1664"/>
      <c r="O1664"/>
      <c r="P1664"/>
    </row>
    <row r="1665" spans="1:16" x14ac:dyDescent="0.2">
      <c r="A1665"/>
      <c r="B1665"/>
      <c r="C1665"/>
      <c r="H1665"/>
      <c r="I1665"/>
      <c r="J1665"/>
      <c r="K1665"/>
      <c r="L1665"/>
      <c r="M1665"/>
      <c r="N1665"/>
      <c r="O1665"/>
      <c r="P1665"/>
    </row>
    <row r="1666" spans="1:16" x14ac:dyDescent="0.2">
      <c r="A1666"/>
      <c r="B1666"/>
      <c r="C1666"/>
      <c r="H1666"/>
      <c r="I1666"/>
      <c r="J1666"/>
      <c r="K1666"/>
      <c r="L1666"/>
      <c r="M1666"/>
      <c r="N1666"/>
      <c r="O1666"/>
      <c r="P1666"/>
    </row>
  </sheetData>
  <mergeCells count="14">
    <mergeCell ref="Q3:Q5"/>
    <mergeCell ref="R3:R5"/>
    <mergeCell ref="I4:I5"/>
    <mergeCell ref="J4:J5"/>
    <mergeCell ref="M4:M5"/>
    <mergeCell ref="N4:N5"/>
    <mergeCell ref="B3:N3"/>
    <mergeCell ref="P3:P5"/>
    <mergeCell ref="C4:C5"/>
    <mergeCell ref="D4:D5"/>
    <mergeCell ref="E4:E5"/>
    <mergeCell ref="F4:F5"/>
    <mergeCell ref="H4:H5"/>
    <mergeCell ref="L4:L5"/>
  </mergeCells>
  <pageMargins left="0.36" right="0.3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64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6.140625" style="1012" customWidth="1"/>
    <col min="11" max="11" width="3.5703125" style="76" customWidth="1"/>
    <col min="12" max="13" width="14.28515625" style="76" customWidth="1"/>
    <col min="14" max="14" width="6.85546875" style="76" customWidth="1"/>
    <col min="15" max="15" width="1.28515625" style="76" customWidth="1"/>
    <col min="16" max="16" width="12.85546875" style="76" customWidth="1"/>
    <col min="17" max="17" width="12.28515625" customWidth="1"/>
    <col min="18" max="18" width="6.7109375" style="1007" customWidth="1"/>
  </cols>
  <sheetData>
    <row r="1" spans="2:18" ht="33" customHeight="1" thickBot="1" x14ac:dyDescent="0.4">
      <c r="B1" s="248" t="s">
        <v>139</v>
      </c>
      <c r="C1" s="248"/>
      <c r="D1" s="248"/>
      <c r="E1" s="248"/>
      <c r="F1" s="248"/>
      <c r="G1" s="248"/>
      <c r="H1" s="248"/>
      <c r="I1" s="248"/>
      <c r="J1" s="1011"/>
      <c r="K1" s="248"/>
      <c r="L1" s="248"/>
      <c r="M1" s="248"/>
      <c r="N1" s="248"/>
      <c r="O1" s="248"/>
      <c r="P1" s="248"/>
    </row>
    <row r="2" spans="2:18" ht="13.5" customHeight="1" thickBot="1" x14ac:dyDescent="0.25">
      <c r="B2" s="1131" t="s">
        <v>632</v>
      </c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3"/>
      <c r="O2" s="116"/>
      <c r="P2" s="1125" t="s">
        <v>716</v>
      </c>
      <c r="Q2" s="1125" t="s">
        <v>886</v>
      </c>
      <c r="R2" s="1128" t="s">
        <v>887</v>
      </c>
    </row>
    <row r="3" spans="2:18" ht="34.5" customHeight="1" thickTop="1" x14ac:dyDescent="0.2">
      <c r="B3" s="552"/>
      <c r="C3" s="1123" t="s">
        <v>478</v>
      </c>
      <c r="D3" s="1123" t="s">
        <v>477</v>
      </c>
      <c r="E3" s="1123" t="s">
        <v>475</v>
      </c>
      <c r="F3" s="1123" t="s">
        <v>476</v>
      </c>
      <c r="G3" s="871" t="s">
        <v>3</v>
      </c>
      <c r="H3" s="1135" t="s">
        <v>902</v>
      </c>
      <c r="I3" s="1135" t="s">
        <v>903</v>
      </c>
      <c r="J3" s="1139" t="s">
        <v>887</v>
      </c>
      <c r="L3" s="1137" t="s">
        <v>904</v>
      </c>
      <c r="M3" s="1137" t="s">
        <v>905</v>
      </c>
      <c r="N3" s="1139" t="s">
        <v>887</v>
      </c>
      <c r="P3" s="1126"/>
      <c r="Q3" s="1126"/>
      <c r="R3" s="1129"/>
    </row>
    <row r="4" spans="2:18" ht="24" customHeight="1" thickBot="1" x14ac:dyDescent="0.25">
      <c r="B4" s="552"/>
      <c r="C4" s="1123"/>
      <c r="D4" s="1123"/>
      <c r="E4" s="1123"/>
      <c r="F4" s="1123"/>
      <c r="G4" s="871"/>
      <c r="H4" s="1136"/>
      <c r="I4" s="1136"/>
      <c r="J4" s="1140"/>
      <c r="L4" s="1138"/>
      <c r="M4" s="1138"/>
      <c r="N4" s="1140"/>
      <c r="P4" s="1127"/>
      <c r="Q4" s="1127"/>
      <c r="R4" s="1130"/>
    </row>
    <row r="5" spans="2:18" ht="24" customHeight="1" thickTop="1" thickBot="1" x14ac:dyDescent="0.25">
      <c r="B5" s="553">
        <v>1</v>
      </c>
      <c r="C5" s="926" t="s">
        <v>210</v>
      </c>
      <c r="D5" s="927"/>
      <c r="E5" s="927"/>
      <c r="F5" s="927"/>
      <c r="G5" s="203"/>
      <c r="H5" s="411">
        <f>H6+H19+H36+H39+H41</f>
        <v>1645347</v>
      </c>
      <c r="I5" s="411">
        <f t="shared" ref="I5" si="0">I6+I19+I36+I39+I41</f>
        <v>1566213</v>
      </c>
      <c r="J5" s="969">
        <f>I5/H5*100</f>
        <v>95.190437032431447</v>
      </c>
      <c r="K5" s="111"/>
      <c r="L5" s="377">
        <f>L6+L19+L36+L39+L41</f>
        <v>349241</v>
      </c>
      <c r="M5" s="377">
        <f t="shared" ref="M5" si="1">M6+M19+M36+M39+M41</f>
        <v>343635</v>
      </c>
      <c r="N5" s="969">
        <f>M5/L5*100</f>
        <v>98.394804733693931</v>
      </c>
      <c r="O5" s="111"/>
      <c r="P5" s="391">
        <f t="shared" ref="P5:P31" si="2">H5+L5</f>
        <v>1994588</v>
      </c>
      <c r="Q5" s="391">
        <f t="shared" ref="Q5:Q31" si="3">I5+M5</f>
        <v>1909848</v>
      </c>
      <c r="R5" s="992">
        <f>Q5/P5*100</f>
        <v>95.751503568656787</v>
      </c>
    </row>
    <row r="6" spans="2:18" ht="17.25" customHeight="1" thickTop="1" x14ac:dyDescent="0.25">
      <c r="B6" s="172">
        <f>B5+1</f>
        <v>2</v>
      </c>
      <c r="C6" s="23">
        <v>1</v>
      </c>
      <c r="D6" s="123" t="s">
        <v>140</v>
      </c>
      <c r="E6" s="24"/>
      <c r="F6" s="24"/>
      <c r="G6" s="192"/>
      <c r="H6" s="412">
        <f>H7+H8+H9+H17</f>
        <v>887200</v>
      </c>
      <c r="I6" s="412">
        <f>I7+I8+I9+I17</f>
        <v>861142</v>
      </c>
      <c r="J6" s="994">
        <f t="shared" ref="J6:J48" si="4">I6/H6*100</f>
        <v>97.062894499549145</v>
      </c>
      <c r="K6" s="86"/>
      <c r="L6" s="395">
        <f>SUM(L7:L18)</f>
        <v>12800</v>
      </c>
      <c r="M6" s="395">
        <f t="shared" ref="M6" si="5">SUM(M7:M18)</f>
        <v>12600</v>
      </c>
      <c r="N6" s="994">
        <f t="shared" ref="N6:N38" si="6">M6/L6*100</f>
        <v>98.4375</v>
      </c>
      <c r="O6" s="86"/>
      <c r="P6" s="389">
        <f t="shared" si="2"/>
        <v>900000</v>
      </c>
      <c r="Q6" s="389">
        <f t="shared" si="3"/>
        <v>873742</v>
      </c>
      <c r="R6" s="981">
        <f t="shared" ref="R6:R48" si="7">Q6/P6*100</f>
        <v>97.082444444444448</v>
      </c>
    </row>
    <row r="7" spans="2:18" ht="12" customHeight="1" x14ac:dyDescent="0.2">
      <c r="B7" s="172">
        <f t="shared" ref="B7:B48" si="8">B6+1</f>
        <v>3</v>
      </c>
      <c r="C7" s="142"/>
      <c r="D7" s="143"/>
      <c r="E7" s="127" t="s">
        <v>308</v>
      </c>
      <c r="F7" s="143" t="s">
        <v>211</v>
      </c>
      <c r="G7" s="201" t="s">
        <v>257</v>
      </c>
      <c r="H7" s="387">
        <f>556300-4000-15200</f>
        <v>537100</v>
      </c>
      <c r="I7" s="387">
        <v>534410</v>
      </c>
      <c r="J7" s="965">
        <f t="shared" si="4"/>
        <v>99.499162167194186</v>
      </c>
      <c r="K7" s="145"/>
      <c r="L7" s="387"/>
      <c r="M7" s="387"/>
      <c r="N7" s="965"/>
      <c r="O7" s="145"/>
      <c r="P7" s="167">
        <f t="shared" si="2"/>
        <v>537100</v>
      </c>
      <c r="Q7" s="167">
        <f t="shared" si="3"/>
        <v>534410</v>
      </c>
      <c r="R7" s="982">
        <f t="shared" si="7"/>
        <v>99.499162167194186</v>
      </c>
    </row>
    <row r="8" spans="2:18" ht="12" customHeight="1" x14ac:dyDescent="0.2">
      <c r="B8" s="172">
        <f t="shared" si="8"/>
        <v>4</v>
      </c>
      <c r="C8" s="142"/>
      <c r="D8" s="143"/>
      <c r="E8" s="127" t="s">
        <v>308</v>
      </c>
      <c r="F8" s="143" t="s">
        <v>212</v>
      </c>
      <c r="G8" s="201" t="s">
        <v>306</v>
      </c>
      <c r="H8" s="387">
        <f>201700-7100</f>
        <v>194600</v>
      </c>
      <c r="I8" s="387">
        <v>193682</v>
      </c>
      <c r="J8" s="965">
        <f t="shared" si="4"/>
        <v>99.528263103802672</v>
      </c>
      <c r="K8" s="145"/>
      <c r="L8" s="396"/>
      <c r="M8" s="396"/>
      <c r="N8" s="996"/>
      <c r="O8" s="145"/>
      <c r="P8" s="167">
        <f t="shared" si="2"/>
        <v>194600</v>
      </c>
      <c r="Q8" s="167">
        <f t="shared" si="3"/>
        <v>193682</v>
      </c>
      <c r="R8" s="982">
        <f t="shared" si="7"/>
        <v>99.528263103802672</v>
      </c>
    </row>
    <row r="9" spans="2:18" ht="12" customHeight="1" x14ac:dyDescent="0.2">
      <c r="B9" s="172">
        <f t="shared" si="8"/>
        <v>5</v>
      </c>
      <c r="C9" s="142"/>
      <c r="D9" s="143"/>
      <c r="E9" s="127" t="s">
        <v>308</v>
      </c>
      <c r="F9" s="143" t="s">
        <v>218</v>
      </c>
      <c r="G9" s="201" t="s">
        <v>249</v>
      </c>
      <c r="H9" s="387">
        <f>SUM(H10:H16)</f>
        <v>136534</v>
      </c>
      <c r="I9" s="387">
        <f>SUM(I10:I16)</f>
        <v>114402</v>
      </c>
      <c r="J9" s="965">
        <f t="shared" si="4"/>
        <v>83.790118212313416</v>
      </c>
      <c r="K9" s="145"/>
      <c r="L9" s="396"/>
      <c r="M9" s="396"/>
      <c r="N9" s="996"/>
      <c r="O9" s="145"/>
      <c r="P9" s="167">
        <f t="shared" si="2"/>
        <v>136534</v>
      </c>
      <c r="Q9" s="167">
        <f t="shared" si="3"/>
        <v>114402</v>
      </c>
      <c r="R9" s="982">
        <f t="shared" si="7"/>
        <v>83.790118212313416</v>
      </c>
    </row>
    <row r="10" spans="2:18" ht="12" customHeight="1" x14ac:dyDescent="0.2">
      <c r="B10" s="172">
        <f t="shared" si="8"/>
        <v>6</v>
      </c>
      <c r="C10" s="126"/>
      <c r="D10" s="127"/>
      <c r="E10" s="127"/>
      <c r="F10" s="127" t="s">
        <v>213</v>
      </c>
      <c r="G10" s="193" t="s">
        <v>307</v>
      </c>
      <c r="H10" s="570">
        <f>970+2000+3500</f>
        <v>6470</v>
      </c>
      <c r="I10" s="570">
        <v>6294</v>
      </c>
      <c r="J10" s="966">
        <f t="shared" si="4"/>
        <v>97.279752704791349</v>
      </c>
      <c r="K10" s="128"/>
      <c r="L10" s="571"/>
      <c r="M10" s="571"/>
      <c r="N10" s="979"/>
      <c r="O10" s="128"/>
      <c r="P10" s="168">
        <f t="shared" si="2"/>
        <v>6470</v>
      </c>
      <c r="Q10" s="168">
        <f t="shared" si="3"/>
        <v>6294</v>
      </c>
      <c r="R10" s="983">
        <f t="shared" si="7"/>
        <v>97.279752704791349</v>
      </c>
    </row>
    <row r="11" spans="2:18" ht="12" customHeight="1" x14ac:dyDescent="0.2">
      <c r="B11" s="172">
        <f t="shared" si="8"/>
        <v>7</v>
      </c>
      <c r="C11" s="126"/>
      <c r="D11" s="127"/>
      <c r="E11" s="127"/>
      <c r="F11" s="127" t="s">
        <v>199</v>
      </c>
      <c r="G11" s="193" t="s">
        <v>246</v>
      </c>
      <c r="H11" s="570">
        <v>25000</v>
      </c>
      <c r="I11" s="570">
        <v>16738</v>
      </c>
      <c r="J11" s="966">
        <f t="shared" si="4"/>
        <v>66.951999999999998</v>
      </c>
      <c r="K11" s="128"/>
      <c r="L11" s="571"/>
      <c r="M11" s="571"/>
      <c r="N11" s="979"/>
      <c r="O11" s="128"/>
      <c r="P11" s="168">
        <f t="shared" si="2"/>
        <v>25000</v>
      </c>
      <c r="Q11" s="168">
        <f t="shared" si="3"/>
        <v>16738</v>
      </c>
      <c r="R11" s="983">
        <f t="shared" si="7"/>
        <v>66.951999999999998</v>
      </c>
    </row>
    <row r="12" spans="2:18" ht="12" customHeight="1" x14ac:dyDescent="0.2">
      <c r="B12" s="172">
        <f t="shared" si="8"/>
        <v>8</v>
      </c>
      <c r="C12" s="126"/>
      <c r="D12" s="127"/>
      <c r="E12" s="127"/>
      <c r="F12" s="127" t="s">
        <v>200</v>
      </c>
      <c r="G12" s="193" t="s">
        <v>247</v>
      </c>
      <c r="H12" s="570">
        <f>37149-4000-3500</f>
        <v>29649</v>
      </c>
      <c r="I12" s="570">
        <v>28944</v>
      </c>
      <c r="J12" s="966">
        <f t="shared" si="4"/>
        <v>97.622179500151773</v>
      </c>
      <c r="K12" s="128"/>
      <c r="L12" s="571"/>
      <c r="M12" s="571"/>
      <c r="N12" s="979"/>
      <c r="O12" s="128"/>
      <c r="P12" s="168">
        <f t="shared" si="2"/>
        <v>29649</v>
      </c>
      <c r="Q12" s="168">
        <f t="shared" si="3"/>
        <v>28944</v>
      </c>
      <c r="R12" s="983">
        <f t="shared" si="7"/>
        <v>97.622179500151773</v>
      </c>
    </row>
    <row r="13" spans="2:18" ht="12" customHeight="1" x14ac:dyDescent="0.2">
      <c r="B13" s="172">
        <f t="shared" si="8"/>
        <v>9</v>
      </c>
      <c r="C13" s="126"/>
      <c r="D13" s="127"/>
      <c r="E13" s="127"/>
      <c r="F13" s="127" t="s">
        <v>201</v>
      </c>
      <c r="G13" s="193" t="s">
        <v>260</v>
      </c>
      <c r="H13" s="570">
        <v>31980</v>
      </c>
      <c r="I13" s="570">
        <v>23501</v>
      </c>
      <c r="J13" s="966">
        <f t="shared" si="4"/>
        <v>73.486554096310201</v>
      </c>
      <c r="K13" s="128"/>
      <c r="L13" s="571"/>
      <c r="M13" s="571"/>
      <c r="N13" s="979"/>
      <c r="O13" s="128"/>
      <c r="P13" s="168">
        <f t="shared" si="2"/>
        <v>31980</v>
      </c>
      <c r="Q13" s="168">
        <f t="shared" si="3"/>
        <v>23501</v>
      </c>
      <c r="R13" s="983">
        <f t="shared" si="7"/>
        <v>73.486554096310201</v>
      </c>
    </row>
    <row r="14" spans="2:18" ht="12" customHeight="1" x14ac:dyDescent="0.2">
      <c r="B14" s="172">
        <f t="shared" si="8"/>
        <v>10</v>
      </c>
      <c r="C14" s="126"/>
      <c r="D14" s="127"/>
      <c r="E14" s="127"/>
      <c r="F14" s="127" t="s">
        <v>214</v>
      </c>
      <c r="G14" s="193" t="s">
        <v>261</v>
      </c>
      <c r="H14" s="570">
        <v>1800</v>
      </c>
      <c r="I14" s="570">
        <v>1496</v>
      </c>
      <c r="J14" s="966">
        <f t="shared" si="4"/>
        <v>83.111111111111114</v>
      </c>
      <c r="K14" s="128"/>
      <c r="L14" s="571"/>
      <c r="M14" s="571"/>
      <c r="N14" s="979"/>
      <c r="O14" s="128"/>
      <c r="P14" s="168">
        <f t="shared" si="2"/>
        <v>1800</v>
      </c>
      <c r="Q14" s="168">
        <f t="shared" si="3"/>
        <v>1496</v>
      </c>
      <c r="R14" s="983">
        <f t="shared" si="7"/>
        <v>83.111111111111114</v>
      </c>
    </row>
    <row r="15" spans="2:18" ht="12" customHeight="1" x14ac:dyDescent="0.2">
      <c r="B15" s="172">
        <f t="shared" si="8"/>
        <v>11</v>
      </c>
      <c r="C15" s="126"/>
      <c r="D15" s="127"/>
      <c r="E15" s="127"/>
      <c r="F15" s="127" t="s">
        <v>216</v>
      </c>
      <c r="G15" s="193" t="s">
        <v>248</v>
      </c>
      <c r="H15" s="570">
        <f>43635-5000</f>
        <v>38635</v>
      </c>
      <c r="I15" s="570">
        <v>35029</v>
      </c>
      <c r="J15" s="966">
        <f t="shared" si="4"/>
        <v>90.666494111556887</v>
      </c>
      <c r="K15" s="128"/>
      <c r="L15" s="571"/>
      <c r="M15" s="571"/>
      <c r="N15" s="979"/>
      <c r="O15" s="128"/>
      <c r="P15" s="168">
        <f t="shared" si="2"/>
        <v>38635</v>
      </c>
      <c r="Q15" s="168">
        <f t="shared" si="3"/>
        <v>35029</v>
      </c>
      <c r="R15" s="983">
        <f t="shared" si="7"/>
        <v>90.666494111556887</v>
      </c>
    </row>
    <row r="16" spans="2:18" ht="12" customHeight="1" x14ac:dyDescent="0.2">
      <c r="B16" s="172">
        <f t="shared" si="8"/>
        <v>12</v>
      </c>
      <c r="C16" s="126"/>
      <c r="D16" s="170"/>
      <c r="E16" s="127" t="s">
        <v>832</v>
      </c>
      <c r="F16" s="127" t="s">
        <v>216</v>
      </c>
      <c r="G16" s="193" t="s">
        <v>659</v>
      </c>
      <c r="H16" s="570">
        <f>500+2000+500</f>
        <v>3000</v>
      </c>
      <c r="I16" s="570">
        <v>2400</v>
      </c>
      <c r="J16" s="966">
        <f t="shared" si="4"/>
        <v>80</v>
      </c>
      <c r="K16" s="128"/>
      <c r="L16" s="571"/>
      <c r="M16" s="571"/>
      <c r="N16" s="979"/>
      <c r="O16" s="128"/>
      <c r="P16" s="168">
        <f t="shared" si="2"/>
        <v>3000</v>
      </c>
      <c r="Q16" s="168">
        <f t="shared" si="3"/>
        <v>2400</v>
      </c>
      <c r="R16" s="983">
        <f t="shared" si="7"/>
        <v>80</v>
      </c>
    </row>
    <row r="17" spans="1:19" ht="12" customHeight="1" x14ac:dyDescent="0.2">
      <c r="B17" s="172">
        <f t="shared" si="8"/>
        <v>13</v>
      </c>
      <c r="C17" s="126"/>
      <c r="D17" s="170"/>
      <c r="E17" s="292"/>
      <c r="F17" s="286" t="s">
        <v>217</v>
      </c>
      <c r="G17" s="201" t="s">
        <v>268</v>
      </c>
      <c r="H17" s="387">
        <f>966+3500+14500</f>
        <v>18966</v>
      </c>
      <c r="I17" s="387">
        <v>18648</v>
      </c>
      <c r="J17" s="965">
        <f t="shared" si="4"/>
        <v>98.323315406516926</v>
      </c>
      <c r="K17" s="128"/>
      <c r="L17" s="571"/>
      <c r="M17" s="571"/>
      <c r="N17" s="979"/>
      <c r="O17" s="128"/>
      <c r="P17" s="167">
        <f t="shared" si="2"/>
        <v>18966</v>
      </c>
      <c r="Q17" s="167">
        <f t="shared" si="3"/>
        <v>18648</v>
      </c>
      <c r="R17" s="982">
        <f t="shared" si="7"/>
        <v>98.323315406516926</v>
      </c>
    </row>
    <row r="18" spans="1:19" ht="12" customHeight="1" x14ac:dyDescent="0.2">
      <c r="B18" s="172">
        <f t="shared" si="8"/>
        <v>14</v>
      </c>
      <c r="C18" s="126"/>
      <c r="D18" s="179"/>
      <c r="E18" s="292"/>
      <c r="F18" s="286" t="s">
        <v>871</v>
      </c>
      <c r="G18" s="201" t="s">
        <v>872</v>
      </c>
      <c r="H18" s="387"/>
      <c r="I18" s="387"/>
      <c r="J18" s="965"/>
      <c r="K18" s="128"/>
      <c r="L18" s="396">
        <v>12800</v>
      </c>
      <c r="M18" s="396">
        <v>12600</v>
      </c>
      <c r="N18" s="996">
        <f t="shared" si="6"/>
        <v>98.4375</v>
      </c>
      <c r="O18" s="128"/>
      <c r="P18" s="167">
        <f t="shared" ref="P18" si="9">H18+L18</f>
        <v>12800</v>
      </c>
      <c r="Q18" s="167">
        <f t="shared" si="3"/>
        <v>12600</v>
      </c>
      <c r="R18" s="982">
        <f t="shared" si="7"/>
        <v>98.4375</v>
      </c>
    </row>
    <row r="19" spans="1:19" ht="15" customHeight="1" x14ac:dyDescent="0.25">
      <c r="B19" s="172">
        <f t="shared" si="8"/>
        <v>15</v>
      </c>
      <c r="C19" s="21">
        <v>2</v>
      </c>
      <c r="D19" s="122" t="s">
        <v>99</v>
      </c>
      <c r="E19" s="22"/>
      <c r="F19" s="22"/>
      <c r="G19" s="194"/>
      <c r="H19" s="413">
        <f>H20+H24</f>
        <v>724647</v>
      </c>
      <c r="I19" s="413">
        <f t="shared" ref="I19" si="10">I20+I24</f>
        <v>673916</v>
      </c>
      <c r="J19" s="972">
        <f t="shared" si="4"/>
        <v>92.999212030133293</v>
      </c>
      <c r="K19" s="110"/>
      <c r="L19" s="397">
        <f>SUM(L20:L35)</f>
        <v>310361</v>
      </c>
      <c r="M19" s="397">
        <f t="shared" ref="M19" si="11">SUM(M20:M35)</f>
        <v>307758</v>
      </c>
      <c r="N19" s="972">
        <f t="shared" si="6"/>
        <v>99.161299261182947</v>
      </c>
      <c r="O19" s="110"/>
      <c r="P19" s="390">
        <f t="shared" si="2"/>
        <v>1035008</v>
      </c>
      <c r="Q19" s="390">
        <f t="shared" si="3"/>
        <v>981674</v>
      </c>
      <c r="R19" s="984">
        <f t="shared" si="7"/>
        <v>94.846996351719014</v>
      </c>
      <c r="S19" s="676"/>
    </row>
    <row r="20" spans="1:19" ht="12" customHeight="1" x14ac:dyDescent="0.2">
      <c r="B20" s="172">
        <f t="shared" si="8"/>
        <v>16</v>
      </c>
      <c r="C20" s="126"/>
      <c r="D20" s="126"/>
      <c r="E20" s="130" t="s">
        <v>239</v>
      </c>
      <c r="F20" s="130">
        <v>630</v>
      </c>
      <c r="G20" s="201" t="s">
        <v>249</v>
      </c>
      <c r="H20" s="387">
        <f>H21+H22+H23</f>
        <v>656987</v>
      </c>
      <c r="I20" s="387">
        <f t="shared" ref="I20" si="12">I21+I22+I23</f>
        <v>625845</v>
      </c>
      <c r="J20" s="965">
        <f t="shared" si="4"/>
        <v>95.25987576618715</v>
      </c>
      <c r="K20" s="128"/>
      <c r="L20" s="570"/>
      <c r="M20" s="570"/>
      <c r="N20" s="966"/>
      <c r="O20" s="128"/>
      <c r="P20" s="575">
        <f t="shared" si="2"/>
        <v>656987</v>
      </c>
      <c r="Q20" s="575">
        <f t="shared" si="3"/>
        <v>625845</v>
      </c>
      <c r="R20" s="1001">
        <f t="shared" si="7"/>
        <v>95.25987576618715</v>
      </c>
    </row>
    <row r="21" spans="1:19" ht="12" customHeight="1" x14ac:dyDescent="0.2">
      <c r="B21" s="172">
        <f t="shared" si="8"/>
        <v>17</v>
      </c>
      <c r="C21" s="126"/>
      <c r="D21" s="126"/>
      <c r="E21" s="130"/>
      <c r="F21" s="130">
        <v>632</v>
      </c>
      <c r="G21" s="193" t="s">
        <v>238</v>
      </c>
      <c r="H21" s="570">
        <f>95400+96000+256000+35000</f>
        <v>482400</v>
      </c>
      <c r="I21" s="570">
        <v>451354</v>
      </c>
      <c r="J21" s="966">
        <f t="shared" si="4"/>
        <v>93.564262023217253</v>
      </c>
      <c r="K21" s="128"/>
      <c r="L21" s="570"/>
      <c r="M21" s="570"/>
      <c r="N21" s="966"/>
      <c r="O21" s="128"/>
      <c r="P21" s="169">
        <f t="shared" si="2"/>
        <v>482400</v>
      </c>
      <c r="Q21" s="169">
        <f t="shared" si="3"/>
        <v>451354</v>
      </c>
      <c r="R21" s="986">
        <f t="shared" si="7"/>
        <v>93.564262023217253</v>
      </c>
    </row>
    <row r="22" spans="1:19" ht="12" customHeight="1" x14ac:dyDescent="0.2">
      <c r="B22" s="172">
        <f t="shared" si="8"/>
        <v>18</v>
      </c>
      <c r="C22" s="126"/>
      <c r="D22" s="126"/>
      <c r="E22" s="130"/>
      <c r="F22" s="130">
        <v>635</v>
      </c>
      <c r="G22" s="193" t="s">
        <v>491</v>
      </c>
      <c r="H22" s="398">
        <f>84400+78000+4900</f>
        <v>167300</v>
      </c>
      <c r="I22" s="398">
        <v>167204</v>
      </c>
      <c r="J22" s="966">
        <f t="shared" si="4"/>
        <v>99.942618051404665</v>
      </c>
      <c r="K22" s="128"/>
      <c r="L22" s="570"/>
      <c r="M22" s="570"/>
      <c r="N22" s="966"/>
      <c r="O22" s="128"/>
      <c r="P22" s="169">
        <f t="shared" si="2"/>
        <v>167300</v>
      </c>
      <c r="Q22" s="169">
        <f t="shared" si="3"/>
        <v>167204</v>
      </c>
      <c r="R22" s="986">
        <f t="shared" si="7"/>
        <v>99.942618051404665</v>
      </c>
    </row>
    <row r="23" spans="1:19" s="485" customFormat="1" ht="26.25" customHeight="1" x14ac:dyDescent="0.2">
      <c r="A23" s="482"/>
      <c r="B23" s="714">
        <f t="shared" si="8"/>
        <v>19</v>
      </c>
      <c r="C23" s="483"/>
      <c r="D23" s="483"/>
      <c r="E23" s="479"/>
      <c r="F23" s="479">
        <v>637</v>
      </c>
      <c r="G23" s="923" t="s">
        <v>875</v>
      </c>
      <c r="H23" s="579">
        <v>7287</v>
      </c>
      <c r="I23" s="579">
        <f>5225+2062</f>
        <v>7287</v>
      </c>
      <c r="J23" s="967">
        <f t="shared" si="4"/>
        <v>100</v>
      </c>
      <c r="K23" s="475"/>
      <c r="L23" s="576"/>
      <c r="M23" s="576"/>
      <c r="N23" s="967"/>
      <c r="O23" s="475"/>
      <c r="P23" s="489">
        <f t="shared" si="2"/>
        <v>7287</v>
      </c>
      <c r="Q23" s="489">
        <f t="shared" si="3"/>
        <v>7287</v>
      </c>
      <c r="R23" s="1013">
        <f t="shared" si="7"/>
        <v>100</v>
      </c>
    </row>
    <row r="24" spans="1:19" ht="12" customHeight="1" x14ac:dyDescent="0.2">
      <c r="B24" s="172">
        <f t="shared" si="8"/>
        <v>20</v>
      </c>
      <c r="C24" s="126"/>
      <c r="D24" s="126"/>
      <c r="E24" s="130" t="s">
        <v>239</v>
      </c>
      <c r="F24" s="156"/>
      <c r="G24" s="226" t="s">
        <v>696</v>
      </c>
      <c r="H24" s="393">
        <f>H25+H26+H27</f>
        <v>67660</v>
      </c>
      <c r="I24" s="393">
        <f t="shared" ref="I24" si="13">I25+I26+I27</f>
        <v>48071</v>
      </c>
      <c r="J24" s="965">
        <f t="shared" si="4"/>
        <v>71.047886491279939</v>
      </c>
      <c r="K24" s="128"/>
      <c r="L24" s="570"/>
      <c r="M24" s="570"/>
      <c r="N24" s="966"/>
      <c r="O24" s="128"/>
      <c r="P24" s="575">
        <f t="shared" si="2"/>
        <v>67660</v>
      </c>
      <c r="Q24" s="575">
        <f t="shared" si="3"/>
        <v>48071</v>
      </c>
      <c r="R24" s="1001">
        <f t="shared" si="7"/>
        <v>71.047886491279939</v>
      </c>
    </row>
    <row r="25" spans="1:19" ht="12" customHeight="1" x14ac:dyDescent="0.2">
      <c r="B25" s="172">
        <f t="shared" si="8"/>
        <v>21</v>
      </c>
      <c r="C25" s="126"/>
      <c r="D25" s="126"/>
      <c r="E25" s="130"/>
      <c r="F25" s="154">
        <v>610</v>
      </c>
      <c r="G25" s="201" t="s">
        <v>257</v>
      </c>
      <c r="H25" s="387">
        <f>14200+1500</f>
        <v>15700</v>
      </c>
      <c r="I25" s="387">
        <v>15644</v>
      </c>
      <c r="J25" s="965">
        <f t="shared" si="4"/>
        <v>99.643312101910837</v>
      </c>
      <c r="K25" s="128"/>
      <c r="L25" s="570"/>
      <c r="M25" s="570"/>
      <c r="N25" s="966"/>
      <c r="O25" s="128"/>
      <c r="P25" s="575">
        <f t="shared" si="2"/>
        <v>15700</v>
      </c>
      <c r="Q25" s="575">
        <f t="shared" si="3"/>
        <v>15644</v>
      </c>
      <c r="R25" s="1001">
        <f t="shared" si="7"/>
        <v>99.643312101910837</v>
      </c>
    </row>
    <row r="26" spans="1:19" ht="12" customHeight="1" x14ac:dyDescent="0.2">
      <c r="B26" s="172">
        <f t="shared" si="8"/>
        <v>22</v>
      </c>
      <c r="C26" s="126"/>
      <c r="D26" s="126"/>
      <c r="E26" s="130"/>
      <c r="F26" s="154">
        <v>620</v>
      </c>
      <c r="G26" s="201" t="s">
        <v>259</v>
      </c>
      <c r="H26" s="387">
        <f>10640-900</f>
        <v>9740</v>
      </c>
      <c r="I26" s="387">
        <v>6820</v>
      </c>
      <c r="J26" s="965">
        <f t="shared" si="4"/>
        <v>70.020533880903486</v>
      </c>
      <c r="K26" s="128"/>
      <c r="L26" s="570"/>
      <c r="M26" s="570"/>
      <c r="N26" s="966"/>
      <c r="O26" s="128"/>
      <c r="P26" s="575">
        <f t="shared" si="2"/>
        <v>9740</v>
      </c>
      <c r="Q26" s="575">
        <f t="shared" si="3"/>
        <v>6820</v>
      </c>
      <c r="R26" s="1001">
        <f t="shared" si="7"/>
        <v>70.020533880903486</v>
      </c>
    </row>
    <row r="27" spans="1:19" ht="12" customHeight="1" x14ac:dyDescent="0.2">
      <c r="B27" s="172">
        <f t="shared" si="8"/>
        <v>23</v>
      </c>
      <c r="C27" s="126"/>
      <c r="D27" s="126"/>
      <c r="E27" s="130"/>
      <c r="F27" s="154">
        <v>630</v>
      </c>
      <c r="G27" s="201" t="s">
        <v>249</v>
      </c>
      <c r="H27" s="387">
        <f>SUM(H28:H31)</f>
        <v>42220</v>
      </c>
      <c r="I27" s="387">
        <f t="shared" ref="I27" si="14">SUM(I28:I31)</f>
        <v>25607</v>
      </c>
      <c r="J27" s="965">
        <f t="shared" si="4"/>
        <v>60.651350071056378</v>
      </c>
      <c r="K27" s="128"/>
      <c r="L27" s="570"/>
      <c r="M27" s="570"/>
      <c r="N27" s="966"/>
      <c r="O27" s="128"/>
      <c r="P27" s="575">
        <f t="shared" si="2"/>
        <v>42220</v>
      </c>
      <c r="Q27" s="575">
        <f t="shared" si="3"/>
        <v>25607</v>
      </c>
      <c r="R27" s="1001">
        <f t="shared" si="7"/>
        <v>60.651350071056378</v>
      </c>
    </row>
    <row r="28" spans="1:19" ht="12" customHeight="1" x14ac:dyDescent="0.2">
      <c r="B28" s="172">
        <f t="shared" si="8"/>
        <v>24</v>
      </c>
      <c r="C28" s="126"/>
      <c r="D28" s="126"/>
      <c r="E28" s="130"/>
      <c r="F28" s="157">
        <v>633</v>
      </c>
      <c r="G28" s="193" t="s">
        <v>247</v>
      </c>
      <c r="H28" s="570">
        <f>5400+200+5000+2000</f>
        <v>12600</v>
      </c>
      <c r="I28" s="570">
        <v>11963</v>
      </c>
      <c r="J28" s="966">
        <f t="shared" si="4"/>
        <v>94.944444444444443</v>
      </c>
      <c r="K28" s="128"/>
      <c r="L28" s="570"/>
      <c r="M28" s="570"/>
      <c r="N28" s="966"/>
      <c r="O28" s="128"/>
      <c r="P28" s="169">
        <f t="shared" si="2"/>
        <v>12600</v>
      </c>
      <c r="Q28" s="169">
        <f t="shared" si="3"/>
        <v>11963</v>
      </c>
      <c r="R28" s="986">
        <f t="shared" si="7"/>
        <v>94.944444444444443</v>
      </c>
    </row>
    <row r="29" spans="1:19" ht="12" customHeight="1" x14ac:dyDescent="0.2">
      <c r="B29" s="172">
        <f t="shared" si="8"/>
        <v>25</v>
      </c>
      <c r="C29" s="126"/>
      <c r="D29" s="126"/>
      <c r="E29" s="130"/>
      <c r="F29" s="130">
        <v>634</v>
      </c>
      <c r="G29" s="193" t="s">
        <v>260</v>
      </c>
      <c r="H29" s="570">
        <f>4500+900</f>
        <v>5400</v>
      </c>
      <c r="I29" s="570">
        <v>2908</v>
      </c>
      <c r="J29" s="966">
        <f t="shared" si="4"/>
        <v>53.851851851851848</v>
      </c>
      <c r="K29" s="128"/>
      <c r="L29" s="570"/>
      <c r="M29" s="570"/>
      <c r="N29" s="966"/>
      <c r="O29" s="128"/>
      <c r="P29" s="169">
        <f t="shared" si="2"/>
        <v>5400</v>
      </c>
      <c r="Q29" s="169">
        <f t="shared" si="3"/>
        <v>2908</v>
      </c>
      <c r="R29" s="986">
        <f t="shared" si="7"/>
        <v>53.851851851851848</v>
      </c>
    </row>
    <row r="30" spans="1:19" ht="12" customHeight="1" x14ac:dyDescent="0.2">
      <c r="B30" s="172">
        <f t="shared" si="8"/>
        <v>26</v>
      </c>
      <c r="C30" s="126"/>
      <c r="D30" s="126"/>
      <c r="E30" s="130"/>
      <c r="F30" s="130">
        <v>635</v>
      </c>
      <c r="G30" s="193" t="s">
        <v>261</v>
      </c>
      <c r="H30" s="570">
        <v>9000</v>
      </c>
      <c r="I30" s="570">
        <v>2425</v>
      </c>
      <c r="J30" s="966">
        <f t="shared" si="4"/>
        <v>26.944444444444443</v>
      </c>
      <c r="K30" s="128"/>
      <c r="L30" s="570"/>
      <c r="M30" s="570"/>
      <c r="N30" s="966"/>
      <c r="O30" s="128"/>
      <c r="P30" s="169">
        <f t="shared" si="2"/>
        <v>9000</v>
      </c>
      <c r="Q30" s="169">
        <f t="shared" si="3"/>
        <v>2425</v>
      </c>
      <c r="R30" s="986">
        <f t="shared" si="7"/>
        <v>26.944444444444443</v>
      </c>
    </row>
    <row r="31" spans="1:19" x14ac:dyDescent="0.2">
      <c r="B31" s="172">
        <f t="shared" si="8"/>
        <v>27</v>
      </c>
      <c r="C31" s="126"/>
      <c r="D31" s="126"/>
      <c r="E31" s="130"/>
      <c r="F31" s="130">
        <v>637</v>
      </c>
      <c r="G31" s="193" t="s">
        <v>248</v>
      </c>
      <c r="H31" s="570">
        <f>100+9000+1000+900+220+16200-5000-4000-200-3000</f>
        <v>15220</v>
      </c>
      <c r="I31" s="570">
        <v>8311</v>
      </c>
      <c r="J31" s="966">
        <f t="shared" si="4"/>
        <v>54.605781865965831</v>
      </c>
      <c r="K31" s="128"/>
      <c r="L31" s="570"/>
      <c r="M31" s="570"/>
      <c r="N31" s="966"/>
      <c r="O31" s="128"/>
      <c r="P31" s="169">
        <f t="shared" si="2"/>
        <v>15220</v>
      </c>
      <c r="Q31" s="169">
        <f t="shared" si="3"/>
        <v>8311</v>
      </c>
      <c r="R31" s="986">
        <f t="shared" si="7"/>
        <v>54.605781865965831</v>
      </c>
    </row>
    <row r="32" spans="1:19" ht="12" customHeight="1" x14ac:dyDescent="0.2">
      <c r="B32" s="172">
        <f t="shared" si="8"/>
        <v>28</v>
      </c>
      <c r="C32" s="126"/>
      <c r="D32" s="126"/>
      <c r="E32" s="160"/>
      <c r="F32" s="130"/>
      <c r="G32" s="193"/>
      <c r="H32" s="570"/>
      <c r="I32" s="570"/>
      <c r="J32" s="966"/>
      <c r="K32" s="128"/>
      <c r="L32" s="570"/>
      <c r="M32" s="570"/>
      <c r="N32" s="966"/>
      <c r="O32" s="128"/>
      <c r="P32" s="169"/>
      <c r="Q32" s="169"/>
      <c r="R32" s="986"/>
    </row>
    <row r="33" spans="2:18" ht="12" customHeight="1" x14ac:dyDescent="0.2">
      <c r="B33" s="172">
        <f t="shared" si="8"/>
        <v>29</v>
      </c>
      <c r="C33" s="126"/>
      <c r="D33" s="126"/>
      <c r="E33" s="130" t="s">
        <v>239</v>
      </c>
      <c r="F33" s="130">
        <v>714</v>
      </c>
      <c r="G33" s="365" t="s">
        <v>684</v>
      </c>
      <c r="H33" s="570"/>
      <c r="I33" s="570"/>
      <c r="J33" s="966"/>
      <c r="K33" s="128"/>
      <c r="L33" s="523">
        <f>70000+18000-16480</f>
        <v>71520</v>
      </c>
      <c r="M33" s="523">
        <v>71520</v>
      </c>
      <c r="N33" s="978">
        <f t="shared" si="6"/>
        <v>100</v>
      </c>
      <c r="O33" s="128"/>
      <c r="P33" s="169">
        <f t="shared" ref="P33:P40" si="15">H33+L33</f>
        <v>71520</v>
      </c>
      <c r="Q33" s="169">
        <f t="shared" ref="Q33" si="16">I33+M33</f>
        <v>71520</v>
      </c>
      <c r="R33" s="986">
        <f t="shared" si="7"/>
        <v>100</v>
      </c>
    </row>
    <row r="34" spans="2:18" ht="12" customHeight="1" x14ac:dyDescent="0.2">
      <c r="B34" s="172">
        <f t="shared" si="8"/>
        <v>30</v>
      </c>
      <c r="C34" s="126"/>
      <c r="D34" s="160"/>
      <c r="E34" s="568" t="s">
        <v>239</v>
      </c>
      <c r="F34" s="568">
        <v>716</v>
      </c>
      <c r="G34" s="365" t="s">
        <v>843</v>
      </c>
      <c r="H34" s="570"/>
      <c r="I34" s="570"/>
      <c r="J34" s="966"/>
      <c r="K34" s="128"/>
      <c r="L34" s="523">
        <v>2063</v>
      </c>
      <c r="M34" s="523">
        <v>0</v>
      </c>
      <c r="N34" s="978">
        <f t="shared" si="6"/>
        <v>0</v>
      </c>
      <c r="O34" s="128"/>
      <c r="P34" s="215">
        <f>L34</f>
        <v>2063</v>
      </c>
      <c r="Q34" s="215">
        <f t="shared" ref="Q34:Q35" si="17">M34</f>
        <v>0</v>
      </c>
      <c r="R34" s="1000">
        <f t="shared" si="7"/>
        <v>0</v>
      </c>
    </row>
    <row r="35" spans="2:18" ht="12" customHeight="1" x14ac:dyDescent="0.2">
      <c r="B35" s="172">
        <f t="shared" si="8"/>
        <v>31</v>
      </c>
      <c r="C35" s="126"/>
      <c r="D35" s="160"/>
      <c r="E35" s="568" t="s">
        <v>239</v>
      </c>
      <c r="F35" s="568">
        <v>717</v>
      </c>
      <c r="G35" s="365" t="s">
        <v>876</v>
      </c>
      <c r="H35" s="570"/>
      <c r="I35" s="570"/>
      <c r="J35" s="966"/>
      <c r="K35" s="128"/>
      <c r="L35" s="523">
        <f>227666+9112</f>
        <v>236778</v>
      </c>
      <c r="M35" s="523">
        <v>236238</v>
      </c>
      <c r="N35" s="978">
        <f t="shared" si="6"/>
        <v>99.7719382712921</v>
      </c>
      <c r="O35" s="128"/>
      <c r="P35" s="215">
        <f>L35</f>
        <v>236778</v>
      </c>
      <c r="Q35" s="215">
        <f t="shared" si="17"/>
        <v>236238</v>
      </c>
      <c r="R35" s="1000">
        <f t="shared" si="7"/>
        <v>99.7719382712921</v>
      </c>
    </row>
    <row r="36" spans="2:18" ht="17.25" customHeight="1" x14ac:dyDescent="0.25">
      <c r="B36" s="172">
        <f t="shared" si="8"/>
        <v>32</v>
      </c>
      <c r="C36" s="23">
        <v>3</v>
      </c>
      <c r="D36" s="123" t="s">
        <v>141</v>
      </c>
      <c r="E36" s="24"/>
      <c r="F36" s="24"/>
      <c r="G36" s="192"/>
      <c r="H36" s="413">
        <f>H37</f>
        <v>5000</v>
      </c>
      <c r="I36" s="413">
        <f t="shared" ref="I36" si="18">I37</f>
        <v>4974</v>
      </c>
      <c r="J36" s="972">
        <f t="shared" si="4"/>
        <v>99.48</v>
      </c>
      <c r="K36" s="86"/>
      <c r="L36" s="397">
        <f>L37+L38</f>
        <v>26080</v>
      </c>
      <c r="M36" s="397">
        <f t="shared" ref="M36" si="19">M37+M38</f>
        <v>23277</v>
      </c>
      <c r="N36" s="972">
        <f t="shared" si="6"/>
        <v>89.252300613496942</v>
      </c>
      <c r="O36" s="86"/>
      <c r="P36" s="389">
        <f t="shared" si="15"/>
        <v>31080</v>
      </c>
      <c r="Q36" s="389">
        <f t="shared" ref="Q36:Q48" si="20">I36+M36</f>
        <v>28251</v>
      </c>
      <c r="R36" s="981">
        <f t="shared" si="7"/>
        <v>90.897683397683394</v>
      </c>
    </row>
    <row r="37" spans="2:18" ht="12" customHeight="1" x14ac:dyDescent="0.2">
      <c r="B37" s="172">
        <f t="shared" si="8"/>
        <v>33</v>
      </c>
      <c r="C37" s="126"/>
      <c r="D37" s="126"/>
      <c r="E37" s="130" t="s">
        <v>241</v>
      </c>
      <c r="F37" s="130">
        <v>635</v>
      </c>
      <c r="G37" s="193" t="s">
        <v>536</v>
      </c>
      <c r="H37" s="570">
        <v>5000</v>
      </c>
      <c r="I37" s="570">
        <v>4974</v>
      </c>
      <c r="J37" s="966">
        <f t="shared" si="4"/>
        <v>99.48</v>
      </c>
      <c r="K37" s="128"/>
      <c r="L37" s="570"/>
      <c r="M37" s="570"/>
      <c r="N37" s="966"/>
      <c r="O37" s="128"/>
      <c r="P37" s="169">
        <f t="shared" si="15"/>
        <v>5000</v>
      </c>
      <c r="Q37" s="169">
        <f t="shared" si="20"/>
        <v>4974</v>
      </c>
      <c r="R37" s="986">
        <f t="shared" si="7"/>
        <v>99.48</v>
      </c>
    </row>
    <row r="38" spans="2:18" x14ac:dyDescent="0.2">
      <c r="B38" s="172">
        <f t="shared" si="8"/>
        <v>34</v>
      </c>
      <c r="C38" s="126"/>
      <c r="D38" s="160"/>
      <c r="E38" s="130" t="s">
        <v>241</v>
      </c>
      <c r="F38" s="568">
        <v>713</v>
      </c>
      <c r="G38" s="815" t="s">
        <v>828</v>
      </c>
      <c r="H38" s="570"/>
      <c r="I38" s="570"/>
      <c r="J38" s="966"/>
      <c r="K38" s="128"/>
      <c r="L38" s="570">
        <f>5000+15000+6080</f>
        <v>26080</v>
      </c>
      <c r="M38" s="570">
        <v>23277</v>
      </c>
      <c r="N38" s="966">
        <f t="shared" si="6"/>
        <v>89.252300613496942</v>
      </c>
      <c r="O38" s="128"/>
      <c r="P38" s="215">
        <f t="shared" si="15"/>
        <v>26080</v>
      </c>
      <c r="Q38" s="215">
        <f t="shared" si="20"/>
        <v>23277</v>
      </c>
      <c r="R38" s="1000">
        <f t="shared" si="7"/>
        <v>89.252300613496942</v>
      </c>
    </row>
    <row r="39" spans="2:18" ht="17.25" customHeight="1" x14ac:dyDescent="0.25">
      <c r="B39" s="172">
        <f t="shared" si="8"/>
        <v>35</v>
      </c>
      <c r="C39" s="23">
        <v>4</v>
      </c>
      <c r="D39" s="123" t="s">
        <v>474</v>
      </c>
      <c r="E39" s="24"/>
      <c r="F39" s="24"/>
      <c r="G39" s="192"/>
      <c r="H39" s="413">
        <f>H40</f>
        <v>7000</v>
      </c>
      <c r="I39" s="413">
        <f t="shared" ref="I39" si="21">I40</f>
        <v>6900</v>
      </c>
      <c r="J39" s="972">
        <f t="shared" si="4"/>
        <v>98.571428571428584</v>
      </c>
      <c r="K39" s="86"/>
      <c r="L39" s="397">
        <f>L40</f>
        <v>0</v>
      </c>
      <c r="M39" s="397">
        <f t="shared" ref="M39" si="22">M40</f>
        <v>0</v>
      </c>
      <c r="N39" s="972">
        <v>0</v>
      </c>
      <c r="O39" s="86"/>
      <c r="P39" s="389">
        <f t="shared" si="15"/>
        <v>7000</v>
      </c>
      <c r="Q39" s="389">
        <f t="shared" si="20"/>
        <v>6900</v>
      </c>
      <c r="R39" s="981">
        <f t="shared" si="7"/>
        <v>98.571428571428584</v>
      </c>
    </row>
    <row r="40" spans="2:18" ht="12" customHeight="1" x14ac:dyDescent="0.2">
      <c r="B40" s="172">
        <f t="shared" si="8"/>
        <v>36</v>
      </c>
      <c r="C40" s="131"/>
      <c r="D40" s="131"/>
      <c r="E40" s="568" t="s">
        <v>278</v>
      </c>
      <c r="F40" s="568">
        <v>637</v>
      </c>
      <c r="G40" s="204" t="s">
        <v>279</v>
      </c>
      <c r="H40" s="570">
        <v>7000</v>
      </c>
      <c r="I40" s="570">
        <v>6900</v>
      </c>
      <c r="J40" s="966">
        <f t="shared" si="4"/>
        <v>98.571428571428584</v>
      </c>
      <c r="K40" s="128"/>
      <c r="L40" s="570"/>
      <c r="M40" s="570"/>
      <c r="N40" s="966"/>
      <c r="O40" s="128"/>
      <c r="P40" s="169">
        <f t="shared" si="15"/>
        <v>7000</v>
      </c>
      <c r="Q40" s="169">
        <f t="shared" si="20"/>
        <v>6900</v>
      </c>
      <c r="R40" s="986">
        <f t="shared" si="7"/>
        <v>98.571428571428584</v>
      </c>
    </row>
    <row r="41" spans="2:18" ht="15.75" x14ac:dyDescent="0.25">
      <c r="B41" s="172">
        <f t="shared" si="8"/>
        <v>37</v>
      </c>
      <c r="C41" s="23">
        <v>5</v>
      </c>
      <c r="D41" s="123" t="s">
        <v>97</v>
      </c>
      <c r="E41" s="24"/>
      <c r="F41" s="24"/>
      <c r="G41" s="192"/>
      <c r="H41" s="413">
        <f>SUM(H42:H48)</f>
        <v>21500</v>
      </c>
      <c r="I41" s="413">
        <f t="shared" ref="I41" si="23">SUM(I42:I48)</f>
        <v>19281</v>
      </c>
      <c r="J41" s="972">
        <f t="shared" si="4"/>
        <v>89.67906976744186</v>
      </c>
      <c r="K41" s="86"/>
      <c r="L41" s="397">
        <v>0</v>
      </c>
      <c r="M41" s="397">
        <v>0</v>
      </c>
      <c r="N41" s="972">
        <v>0</v>
      </c>
      <c r="O41" s="86"/>
      <c r="P41" s="389">
        <f t="shared" ref="P41:P48" si="24">H41+L41</f>
        <v>21500</v>
      </c>
      <c r="Q41" s="389">
        <f t="shared" si="20"/>
        <v>19281</v>
      </c>
      <c r="R41" s="981">
        <f t="shared" si="7"/>
        <v>89.67906976744186</v>
      </c>
    </row>
    <row r="42" spans="2:18" ht="12" customHeight="1" x14ac:dyDescent="0.2">
      <c r="B42" s="172">
        <f t="shared" si="8"/>
        <v>38</v>
      </c>
      <c r="C42" s="126"/>
      <c r="D42" s="126"/>
      <c r="E42" s="568" t="s">
        <v>274</v>
      </c>
      <c r="F42" s="568">
        <v>640</v>
      </c>
      <c r="G42" s="204" t="s">
        <v>739</v>
      </c>
      <c r="H42" s="570">
        <v>5000</v>
      </c>
      <c r="I42" s="570">
        <v>5000</v>
      </c>
      <c r="J42" s="966">
        <f t="shared" si="4"/>
        <v>100</v>
      </c>
      <c r="K42" s="128"/>
      <c r="L42" s="570"/>
      <c r="M42" s="570"/>
      <c r="N42" s="966"/>
      <c r="O42" s="128"/>
      <c r="P42" s="169">
        <f t="shared" si="24"/>
        <v>5000</v>
      </c>
      <c r="Q42" s="169">
        <f t="shared" si="20"/>
        <v>5000</v>
      </c>
      <c r="R42" s="986">
        <f t="shared" si="7"/>
        <v>100</v>
      </c>
    </row>
    <row r="43" spans="2:18" ht="12" customHeight="1" x14ac:dyDescent="0.2">
      <c r="B43" s="172">
        <f t="shared" si="8"/>
        <v>39</v>
      </c>
      <c r="C43" s="126"/>
      <c r="D43" s="126"/>
      <c r="E43" s="568" t="s">
        <v>274</v>
      </c>
      <c r="F43" s="568">
        <v>640</v>
      </c>
      <c r="G43" s="204" t="s">
        <v>740</v>
      </c>
      <c r="H43" s="570">
        <v>4000</v>
      </c>
      <c r="I43" s="570">
        <v>4000</v>
      </c>
      <c r="J43" s="966">
        <f t="shared" si="4"/>
        <v>100</v>
      </c>
      <c r="K43" s="128"/>
      <c r="L43" s="570"/>
      <c r="M43" s="570"/>
      <c r="N43" s="966"/>
      <c r="O43" s="128"/>
      <c r="P43" s="169">
        <f t="shared" si="24"/>
        <v>4000</v>
      </c>
      <c r="Q43" s="169">
        <f t="shared" si="20"/>
        <v>4000</v>
      </c>
      <c r="R43" s="986">
        <f t="shared" si="7"/>
        <v>100</v>
      </c>
    </row>
    <row r="44" spans="2:18" ht="12" customHeight="1" x14ac:dyDescent="0.2">
      <c r="B44" s="172">
        <f t="shared" si="8"/>
        <v>40</v>
      </c>
      <c r="C44" s="126"/>
      <c r="D44" s="126"/>
      <c r="E44" s="568" t="s">
        <v>274</v>
      </c>
      <c r="F44" s="568">
        <v>640</v>
      </c>
      <c r="G44" s="204" t="s">
        <v>741</v>
      </c>
      <c r="H44" s="570">
        <v>1000</v>
      </c>
      <c r="I44" s="570">
        <v>1000</v>
      </c>
      <c r="J44" s="966">
        <f t="shared" si="4"/>
        <v>100</v>
      </c>
      <c r="K44" s="128"/>
      <c r="L44" s="570"/>
      <c r="M44" s="570"/>
      <c r="N44" s="966"/>
      <c r="O44" s="128"/>
      <c r="P44" s="169">
        <f t="shared" si="24"/>
        <v>1000</v>
      </c>
      <c r="Q44" s="169">
        <f t="shared" si="20"/>
        <v>1000</v>
      </c>
      <c r="R44" s="986">
        <f t="shared" si="7"/>
        <v>100</v>
      </c>
    </row>
    <row r="45" spans="2:18" ht="12" customHeight="1" x14ac:dyDescent="0.2">
      <c r="B45" s="172">
        <f t="shared" si="8"/>
        <v>41</v>
      </c>
      <c r="C45" s="126"/>
      <c r="D45" s="126"/>
      <c r="E45" s="568" t="s">
        <v>274</v>
      </c>
      <c r="F45" s="130">
        <v>620</v>
      </c>
      <c r="G45" s="193" t="s">
        <v>259</v>
      </c>
      <c r="H45" s="570">
        <v>1200</v>
      </c>
      <c r="I45" s="570">
        <v>0</v>
      </c>
      <c r="J45" s="966">
        <f t="shared" si="4"/>
        <v>0</v>
      </c>
      <c r="K45" s="128"/>
      <c r="L45" s="570"/>
      <c r="M45" s="570"/>
      <c r="N45" s="966"/>
      <c r="O45" s="128"/>
      <c r="P45" s="169">
        <f t="shared" si="24"/>
        <v>1200</v>
      </c>
      <c r="Q45" s="169">
        <f t="shared" si="20"/>
        <v>0</v>
      </c>
      <c r="R45" s="986">
        <f t="shared" si="7"/>
        <v>0</v>
      </c>
    </row>
    <row r="46" spans="2:18" ht="12" customHeight="1" x14ac:dyDescent="0.2">
      <c r="B46" s="172">
        <f t="shared" si="8"/>
        <v>42</v>
      </c>
      <c r="C46" s="126"/>
      <c r="D46" s="126"/>
      <c r="E46" s="568" t="s">
        <v>274</v>
      </c>
      <c r="F46" s="130">
        <v>634</v>
      </c>
      <c r="G46" s="193" t="s">
        <v>304</v>
      </c>
      <c r="H46" s="570">
        <v>500</v>
      </c>
      <c r="I46" s="570">
        <v>476</v>
      </c>
      <c r="J46" s="966">
        <f t="shared" si="4"/>
        <v>95.199999999999989</v>
      </c>
      <c r="K46" s="128"/>
      <c r="L46" s="570"/>
      <c r="M46" s="570"/>
      <c r="N46" s="966"/>
      <c r="O46" s="128"/>
      <c r="P46" s="169">
        <f t="shared" si="24"/>
        <v>500</v>
      </c>
      <c r="Q46" s="169">
        <f t="shared" si="20"/>
        <v>476</v>
      </c>
      <c r="R46" s="986">
        <f t="shared" si="7"/>
        <v>95.199999999999989</v>
      </c>
    </row>
    <row r="47" spans="2:18" ht="12" customHeight="1" x14ac:dyDescent="0.2">
      <c r="B47" s="172">
        <f t="shared" si="8"/>
        <v>43</v>
      </c>
      <c r="C47" s="126"/>
      <c r="D47" s="126"/>
      <c r="E47" s="568" t="s">
        <v>274</v>
      </c>
      <c r="F47" s="130">
        <v>637</v>
      </c>
      <c r="G47" s="193" t="s">
        <v>423</v>
      </c>
      <c r="H47" s="570">
        <v>8000</v>
      </c>
      <c r="I47" s="570">
        <f>6476+600</f>
        <v>7076</v>
      </c>
      <c r="J47" s="966">
        <f t="shared" si="4"/>
        <v>88.449999999999989</v>
      </c>
      <c r="K47" s="128"/>
      <c r="L47" s="570"/>
      <c r="M47" s="570"/>
      <c r="N47" s="966"/>
      <c r="O47" s="128"/>
      <c r="P47" s="169">
        <f t="shared" si="24"/>
        <v>8000</v>
      </c>
      <c r="Q47" s="169">
        <f t="shared" si="20"/>
        <v>7076</v>
      </c>
      <c r="R47" s="986">
        <f t="shared" si="7"/>
        <v>88.449999999999989</v>
      </c>
    </row>
    <row r="48" spans="2:18" ht="13.5" thickBot="1" x14ac:dyDescent="0.25">
      <c r="B48" s="209">
        <f t="shared" si="8"/>
        <v>44</v>
      </c>
      <c r="C48" s="135"/>
      <c r="D48" s="135"/>
      <c r="E48" s="213" t="s">
        <v>274</v>
      </c>
      <c r="F48" s="136">
        <v>637</v>
      </c>
      <c r="G48" s="202" t="s">
        <v>304</v>
      </c>
      <c r="H48" s="384">
        <v>1800</v>
      </c>
      <c r="I48" s="384">
        <v>1729</v>
      </c>
      <c r="J48" s="991">
        <f t="shared" si="4"/>
        <v>96.055555555555557</v>
      </c>
      <c r="K48" s="137"/>
      <c r="L48" s="384"/>
      <c r="M48" s="384"/>
      <c r="N48" s="991"/>
      <c r="O48" s="137"/>
      <c r="P48" s="216">
        <f t="shared" si="24"/>
        <v>1800</v>
      </c>
      <c r="Q48" s="216">
        <f t="shared" si="20"/>
        <v>1729</v>
      </c>
      <c r="R48" s="993">
        <f t="shared" si="7"/>
        <v>96.055555555555557</v>
      </c>
    </row>
    <row r="49" spans="1:16" ht="15" customHeight="1" x14ac:dyDescent="0.2">
      <c r="B49" s="306"/>
      <c r="C49" s="307"/>
      <c r="D49" s="129"/>
      <c r="E49" s="129"/>
      <c r="F49" s="129"/>
      <c r="G49" s="129"/>
      <c r="H49" s="129"/>
      <c r="I49" s="129"/>
      <c r="J49" s="243"/>
      <c r="K49" s="249"/>
      <c r="L49" s="249"/>
      <c r="M49" s="249"/>
      <c r="N49" s="249"/>
      <c r="O49" s="249"/>
      <c r="P49" s="249"/>
    </row>
    <row r="50" spans="1:16" ht="15" customHeight="1" x14ac:dyDescent="0.2">
      <c r="A50"/>
      <c r="B50"/>
      <c r="C50"/>
      <c r="H50"/>
      <c r="I50"/>
      <c r="J50" s="243"/>
      <c r="K50"/>
      <c r="L50"/>
      <c r="M50"/>
      <c r="N50"/>
      <c r="O50"/>
      <c r="P50"/>
    </row>
    <row r="51" spans="1:16" ht="15" customHeight="1" x14ac:dyDescent="0.2">
      <c r="A51"/>
      <c r="B51"/>
      <c r="C51"/>
      <c r="H51"/>
      <c r="I51"/>
      <c r="J51" s="243"/>
      <c r="K51"/>
      <c r="L51"/>
      <c r="M51"/>
      <c r="N51"/>
      <c r="O51"/>
      <c r="P51"/>
    </row>
    <row r="52" spans="1:16" ht="15" customHeight="1" x14ac:dyDescent="0.2">
      <c r="A52"/>
      <c r="B52"/>
      <c r="C52"/>
      <c r="H52"/>
      <c r="I52"/>
      <c r="J52" s="243"/>
      <c r="K52"/>
      <c r="L52"/>
      <c r="M52"/>
      <c r="N52"/>
      <c r="O52"/>
      <c r="P52"/>
    </row>
    <row r="53" spans="1:16" ht="15" customHeight="1" x14ac:dyDescent="0.2">
      <c r="A53"/>
      <c r="B53"/>
      <c r="C53"/>
      <c r="H53"/>
      <c r="I53"/>
      <c r="J53" s="243"/>
      <c r="K53"/>
      <c r="L53"/>
      <c r="M53"/>
      <c r="N53"/>
      <c r="O53"/>
      <c r="P53"/>
    </row>
    <row r="54" spans="1:16" ht="15" customHeight="1" x14ac:dyDescent="0.2">
      <c r="A54"/>
      <c r="B54"/>
      <c r="C54"/>
      <c r="H54"/>
      <c r="I54"/>
      <c r="J54" s="243"/>
      <c r="K54"/>
      <c r="L54"/>
      <c r="M54"/>
      <c r="N54"/>
      <c r="O54"/>
      <c r="P54"/>
    </row>
    <row r="55" spans="1:16" ht="15" customHeight="1" x14ac:dyDescent="0.2">
      <c r="A55"/>
      <c r="B55"/>
      <c r="C55"/>
      <c r="H55"/>
      <c r="I55"/>
      <c r="J55" s="243"/>
      <c r="K55"/>
      <c r="L55"/>
      <c r="M55"/>
      <c r="N55"/>
      <c r="O55"/>
      <c r="P55"/>
    </row>
    <row r="56" spans="1:16" ht="15" customHeight="1" x14ac:dyDescent="0.2">
      <c r="A56"/>
      <c r="B56"/>
      <c r="C56"/>
      <c r="H56"/>
      <c r="I56"/>
      <c r="J56" s="243"/>
      <c r="K56"/>
      <c r="L56"/>
      <c r="M56"/>
      <c r="N56"/>
      <c r="O56"/>
      <c r="P56"/>
    </row>
    <row r="57" spans="1:16" ht="15" customHeight="1" x14ac:dyDescent="0.2">
      <c r="A57"/>
      <c r="B57"/>
      <c r="C57"/>
      <c r="H57"/>
      <c r="I57"/>
      <c r="J57" s="243"/>
      <c r="K57"/>
      <c r="L57"/>
      <c r="M57"/>
      <c r="N57"/>
      <c r="O57"/>
      <c r="P57"/>
    </row>
    <row r="58" spans="1:16" ht="15" customHeight="1" x14ac:dyDescent="0.2">
      <c r="A58"/>
      <c r="B58"/>
      <c r="C58"/>
      <c r="H58"/>
      <c r="I58"/>
      <c r="J58" s="243"/>
      <c r="K58"/>
      <c r="L58"/>
      <c r="M58"/>
      <c r="N58"/>
      <c r="O58"/>
      <c r="P58"/>
    </row>
    <row r="59" spans="1:16" ht="15" customHeight="1" x14ac:dyDescent="0.2">
      <c r="A59"/>
      <c r="B59"/>
      <c r="C59"/>
      <c r="H59"/>
      <c r="I59"/>
      <c r="J59" s="243"/>
      <c r="K59"/>
      <c r="L59"/>
      <c r="M59"/>
      <c r="N59"/>
      <c r="O59"/>
      <c r="P59"/>
    </row>
    <row r="60" spans="1:16" ht="26.25" customHeight="1" x14ac:dyDescent="0.2">
      <c r="A60"/>
      <c r="B60"/>
      <c r="C60"/>
      <c r="H60"/>
      <c r="I60"/>
      <c r="J60" s="243"/>
      <c r="K60"/>
      <c r="L60"/>
      <c r="M60"/>
      <c r="N60"/>
      <c r="O60"/>
      <c r="P60"/>
    </row>
    <row r="61" spans="1:16" ht="13.5" customHeight="1" x14ac:dyDescent="0.2">
      <c r="A61"/>
      <c r="B61"/>
      <c r="C61"/>
      <c r="H61"/>
      <c r="I61"/>
      <c r="J61" s="243"/>
      <c r="K61"/>
      <c r="L61"/>
      <c r="M61"/>
      <c r="N61"/>
      <c r="O61"/>
      <c r="P61"/>
    </row>
    <row r="62" spans="1:16" ht="38.25" customHeight="1" x14ac:dyDescent="0.2">
      <c r="A62"/>
      <c r="B62"/>
      <c r="C62"/>
      <c r="H62"/>
      <c r="I62"/>
      <c r="J62" s="243"/>
      <c r="K62"/>
      <c r="L62"/>
      <c r="M62"/>
      <c r="N62"/>
      <c r="O62"/>
      <c r="P62"/>
    </row>
    <row r="63" spans="1:16" ht="31.5" customHeight="1" x14ac:dyDescent="0.2">
      <c r="A63"/>
      <c r="B63"/>
      <c r="C63"/>
      <c r="H63"/>
      <c r="I63"/>
      <c r="J63" s="243"/>
      <c r="K63"/>
      <c r="L63"/>
      <c r="M63"/>
      <c r="N63"/>
      <c r="O63"/>
      <c r="P63"/>
    </row>
    <row r="64" spans="1:16" x14ac:dyDescent="0.2">
      <c r="A64"/>
      <c r="B64"/>
      <c r="C64"/>
      <c r="H64"/>
      <c r="I64"/>
      <c r="J64" s="243"/>
      <c r="K64"/>
      <c r="L64"/>
      <c r="M64"/>
      <c r="N64"/>
      <c r="O64"/>
      <c r="P64"/>
    </row>
    <row r="65" spans="1:16" x14ac:dyDescent="0.2">
      <c r="A65"/>
      <c r="B65"/>
      <c r="C65"/>
      <c r="H65"/>
      <c r="I65"/>
      <c r="J65" s="243"/>
      <c r="K65"/>
      <c r="L65"/>
      <c r="M65"/>
      <c r="N65"/>
      <c r="O65"/>
      <c r="P65"/>
    </row>
    <row r="66" spans="1:16" ht="12" customHeight="1" x14ac:dyDescent="0.2">
      <c r="A66"/>
      <c r="B66"/>
      <c r="C66"/>
      <c r="H66"/>
      <c r="I66"/>
      <c r="J66" s="243"/>
      <c r="K66"/>
      <c r="L66"/>
      <c r="M66"/>
      <c r="N66"/>
      <c r="O66"/>
      <c r="P66"/>
    </row>
    <row r="67" spans="1:16" x14ac:dyDescent="0.2">
      <c r="A67"/>
      <c r="B67"/>
      <c r="C67"/>
      <c r="H67"/>
      <c r="I67"/>
      <c r="J67" s="243"/>
      <c r="K67"/>
      <c r="L67"/>
      <c r="M67"/>
      <c r="N67"/>
      <c r="O67"/>
      <c r="P67"/>
    </row>
    <row r="68" spans="1:16" x14ac:dyDescent="0.2">
      <c r="A68"/>
      <c r="B68"/>
      <c r="C68"/>
      <c r="H68"/>
      <c r="I68"/>
      <c r="J68" s="243"/>
      <c r="K68"/>
      <c r="L68"/>
      <c r="M68"/>
      <c r="N68"/>
      <c r="O68"/>
      <c r="P68"/>
    </row>
    <row r="69" spans="1:16" x14ac:dyDescent="0.2">
      <c r="A69"/>
      <c r="B69"/>
      <c r="C69"/>
      <c r="H69"/>
      <c r="I69"/>
      <c r="J69" s="243"/>
      <c r="K69"/>
      <c r="L69"/>
      <c r="M69"/>
      <c r="N69"/>
      <c r="O69"/>
      <c r="P69"/>
    </row>
    <row r="70" spans="1:16" ht="12" customHeight="1" x14ac:dyDescent="0.2">
      <c r="A70"/>
      <c r="B70"/>
      <c r="C70"/>
      <c r="H70"/>
      <c r="I70"/>
      <c r="J70" s="243"/>
      <c r="K70"/>
      <c r="L70"/>
      <c r="M70"/>
      <c r="N70"/>
      <c r="O70"/>
      <c r="P70"/>
    </row>
    <row r="71" spans="1:16" ht="12" customHeight="1" x14ac:dyDescent="0.2">
      <c r="A71"/>
      <c r="B71"/>
      <c r="C71"/>
      <c r="H71"/>
      <c r="I71"/>
      <c r="J71" s="243"/>
      <c r="K71"/>
      <c r="L71"/>
      <c r="M71"/>
      <c r="N71"/>
      <c r="O71"/>
      <c r="P71"/>
    </row>
    <row r="72" spans="1:16" ht="12" customHeight="1" x14ac:dyDescent="0.2">
      <c r="A72"/>
      <c r="B72"/>
      <c r="C72"/>
      <c r="H72"/>
      <c r="I72"/>
      <c r="J72" s="243"/>
      <c r="K72"/>
      <c r="L72"/>
      <c r="M72"/>
      <c r="N72"/>
      <c r="O72"/>
      <c r="P72"/>
    </row>
    <row r="73" spans="1:16" ht="12" customHeight="1" x14ac:dyDescent="0.2">
      <c r="A73"/>
      <c r="B73"/>
      <c r="C73"/>
      <c r="H73"/>
      <c r="I73"/>
      <c r="J73" s="243"/>
      <c r="K73"/>
      <c r="L73"/>
      <c r="M73"/>
      <c r="N73"/>
      <c r="O73"/>
      <c r="P73"/>
    </row>
    <row r="74" spans="1:16" ht="12" customHeight="1" x14ac:dyDescent="0.2">
      <c r="A74"/>
      <c r="B74"/>
      <c r="C74"/>
      <c r="H74"/>
      <c r="I74"/>
      <c r="J74" s="243"/>
      <c r="K74"/>
      <c r="L74"/>
      <c r="M74"/>
      <c r="N74"/>
      <c r="O74"/>
      <c r="P74"/>
    </row>
    <row r="75" spans="1:16" ht="12" customHeight="1" x14ac:dyDescent="0.2">
      <c r="A75"/>
      <c r="B75"/>
      <c r="C75"/>
      <c r="H75"/>
      <c r="I75"/>
      <c r="J75" s="243"/>
      <c r="K75"/>
      <c r="L75"/>
      <c r="M75"/>
      <c r="N75"/>
      <c r="O75"/>
      <c r="P75"/>
    </row>
    <row r="76" spans="1:16" ht="12" customHeight="1" x14ac:dyDescent="0.2">
      <c r="A76"/>
      <c r="B76"/>
      <c r="C76"/>
      <c r="H76"/>
      <c r="I76"/>
      <c r="J76" s="243"/>
      <c r="K76"/>
      <c r="L76"/>
      <c r="M76"/>
      <c r="N76"/>
      <c r="O76"/>
      <c r="P76"/>
    </row>
    <row r="77" spans="1:16" ht="12" customHeight="1" x14ac:dyDescent="0.2">
      <c r="A77"/>
      <c r="B77"/>
      <c r="C77"/>
      <c r="H77"/>
      <c r="I77"/>
      <c r="J77" s="243"/>
      <c r="K77"/>
      <c r="L77"/>
      <c r="M77"/>
      <c r="N77"/>
      <c r="O77"/>
      <c r="P77"/>
    </row>
    <row r="78" spans="1:16" ht="12" customHeight="1" x14ac:dyDescent="0.2">
      <c r="A78"/>
      <c r="B78"/>
      <c r="C78"/>
      <c r="H78"/>
      <c r="I78"/>
      <c r="J78" s="243"/>
      <c r="K78"/>
      <c r="L78"/>
      <c r="M78"/>
      <c r="N78"/>
      <c r="O78"/>
      <c r="P78"/>
    </row>
    <row r="79" spans="1:16" ht="12" customHeight="1" x14ac:dyDescent="0.2">
      <c r="A79"/>
      <c r="B79"/>
      <c r="C79"/>
      <c r="H79"/>
      <c r="I79"/>
      <c r="J79" s="243"/>
      <c r="K79"/>
      <c r="L79"/>
      <c r="M79"/>
      <c r="N79"/>
      <c r="O79"/>
      <c r="P79"/>
    </row>
    <row r="80" spans="1:16" ht="12" customHeight="1" x14ac:dyDescent="0.2">
      <c r="A80"/>
      <c r="B80"/>
      <c r="C80"/>
      <c r="H80"/>
      <c r="I80"/>
      <c r="J80" s="243"/>
      <c r="K80"/>
      <c r="L80"/>
      <c r="M80"/>
      <c r="N80"/>
      <c r="O80"/>
      <c r="P80"/>
    </row>
    <row r="81" spans="1:16" ht="12" customHeight="1" x14ac:dyDescent="0.2">
      <c r="A81"/>
      <c r="B81"/>
      <c r="C81"/>
      <c r="H81"/>
      <c r="I81"/>
      <c r="J81" s="243"/>
      <c r="K81"/>
      <c r="L81"/>
      <c r="M81"/>
      <c r="N81"/>
      <c r="O81"/>
      <c r="P81"/>
    </row>
    <row r="82" spans="1:16" ht="12" customHeight="1" x14ac:dyDescent="0.2">
      <c r="A82"/>
      <c r="B82"/>
      <c r="C82"/>
      <c r="H82"/>
      <c r="I82"/>
      <c r="J82" s="243"/>
      <c r="K82"/>
      <c r="L82"/>
      <c r="M82"/>
      <c r="N82"/>
      <c r="O82"/>
      <c r="P82"/>
    </row>
    <row r="83" spans="1:16" ht="12" customHeight="1" x14ac:dyDescent="0.2">
      <c r="A83"/>
      <c r="B83"/>
      <c r="C83"/>
      <c r="H83"/>
      <c r="I83"/>
      <c r="J83" s="243"/>
      <c r="K83"/>
      <c r="L83"/>
      <c r="M83"/>
      <c r="N83"/>
      <c r="O83"/>
      <c r="P83"/>
    </row>
    <row r="84" spans="1:16" x14ac:dyDescent="0.2">
      <c r="A84"/>
      <c r="B84"/>
      <c r="C84"/>
      <c r="H84"/>
      <c r="I84"/>
      <c r="J84" s="243"/>
      <c r="K84"/>
      <c r="L84"/>
      <c r="M84"/>
      <c r="N84"/>
      <c r="O84"/>
      <c r="P84"/>
    </row>
    <row r="85" spans="1:16" ht="12" customHeight="1" x14ac:dyDescent="0.2">
      <c r="A85"/>
      <c r="B85"/>
      <c r="C85"/>
      <c r="H85"/>
      <c r="I85"/>
      <c r="J85" s="243"/>
      <c r="K85"/>
      <c r="L85"/>
      <c r="M85"/>
      <c r="N85"/>
      <c r="O85"/>
      <c r="P85"/>
    </row>
    <row r="86" spans="1:16" ht="12" customHeight="1" x14ac:dyDescent="0.2">
      <c r="A86"/>
      <c r="B86"/>
      <c r="C86"/>
      <c r="H86"/>
      <c r="I86"/>
      <c r="J86" s="243"/>
      <c r="K86"/>
      <c r="L86"/>
      <c r="M86"/>
      <c r="N86"/>
      <c r="O86"/>
      <c r="P86"/>
    </row>
    <row r="87" spans="1:16" ht="12" customHeight="1" x14ac:dyDescent="0.2">
      <c r="A87"/>
      <c r="B87"/>
      <c r="C87"/>
      <c r="H87"/>
      <c r="I87"/>
      <c r="J87" s="243"/>
      <c r="K87"/>
      <c r="L87"/>
      <c r="M87"/>
      <c r="N87"/>
      <c r="O87"/>
      <c r="P87"/>
    </row>
    <row r="88" spans="1:16" ht="12" customHeight="1" x14ac:dyDescent="0.2">
      <c r="A88"/>
      <c r="B88"/>
      <c r="C88"/>
      <c r="H88"/>
      <c r="I88"/>
      <c r="J88" s="243"/>
      <c r="K88"/>
      <c r="L88"/>
      <c r="M88"/>
      <c r="N88"/>
      <c r="O88"/>
      <c r="P88"/>
    </row>
    <row r="89" spans="1:16" ht="12" customHeight="1" x14ac:dyDescent="0.2">
      <c r="A89"/>
      <c r="B89"/>
      <c r="C89"/>
      <c r="H89"/>
      <c r="I89"/>
      <c r="J89" s="243"/>
      <c r="K89"/>
      <c r="L89"/>
      <c r="M89"/>
      <c r="N89"/>
      <c r="O89"/>
      <c r="P89"/>
    </row>
    <row r="90" spans="1:16" ht="12" customHeight="1" x14ac:dyDescent="0.2">
      <c r="A90"/>
      <c r="B90"/>
      <c r="C90"/>
      <c r="H90"/>
      <c r="I90"/>
      <c r="J90" s="243"/>
      <c r="K90"/>
      <c r="L90"/>
      <c r="M90"/>
      <c r="N90"/>
      <c r="O90"/>
      <c r="P90"/>
    </row>
    <row r="91" spans="1:16" ht="12" customHeight="1" x14ac:dyDescent="0.2">
      <c r="A91"/>
      <c r="B91"/>
      <c r="C91"/>
      <c r="H91"/>
      <c r="I91"/>
      <c r="J91" s="243"/>
      <c r="K91"/>
      <c r="L91"/>
      <c r="M91"/>
      <c r="N91"/>
      <c r="O91"/>
      <c r="P91"/>
    </row>
    <row r="92" spans="1:16" ht="12" customHeight="1" x14ac:dyDescent="0.2">
      <c r="A92"/>
      <c r="B92"/>
      <c r="C92"/>
      <c r="H92"/>
      <c r="I92"/>
      <c r="J92" s="243"/>
      <c r="K92"/>
      <c r="L92"/>
      <c r="M92"/>
      <c r="N92"/>
      <c r="O92"/>
      <c r="P92"/>
    </row>
    <row r="93" spans="1:16" ht="12" customHeight="1" x14ac:dyDescent="0.2">
      <c r="A93"/>
      <c r="B93"/>
      <c r="C93"/>
      <c r="H93"/>
      <c r="I93"/>
      <c r="J93" s="243"/>
      <c r="K93"/>
      <c r="L93"/>
      <c r="M93"/>
      <c r="N93"/>
      <c r="O93"/>
      <c r="P93"/>
    </row>
    <row r="94" spans="1:16" ht="12" customHeight="1" x14ac:dyDescent="0.2">
      <c r="A94"/>
      <c r="B94"/>
      <c r="C94"/>
      <c r="H94"/>
      <c r="I94"/>
      <c r="J94" s="243"/>
      <c r="K94"/>
      <c r="L94"/>
      <c r="M94"/>
      <c r="N94"/>
      <c r="O94"/>
      <c r="P94"/>
    </row>
    <row r="95" spans="1:16" ht="15" customHeight="1" x14ac:dyDescent="0.2">
      <c r="A95"/>
      <c r="B95"/>
      <c r="C95"/>
      <c r="H95"/>
      <c r="I95"/>
      <c r="J95" s="243"/>
      <c r="K95"/>
      <c r="L95"/>
      <c r="M95"/>
      <c r="N95"/>
      <c r="O95"/>
      <c r="P95"/>
    </row>
    <row r="96" spans="1:16" ht="15" customHeight="1" x14ac:dyDescent="0.2">
      <c r="A96"/>
      <c r="B96"/>
      <c r="C96"/>
      <c r="H96"/>
      <c r="I96"/>
      <c r="J96" s="243"/>
      <c r="K96"/>
      <c r="L96"/>
      <c r="M96"/>
      <c r="N96"/>
      <c r="O96"/>
      <c r="P96"/>
    </row>
    <row r="97" spans="1:16" ht="15" customHeight="1" x14ac:dyDescent="0.2">
      <c r="A97"/>
      <c r="B97"/>
      <c r="C97"/>
      <c r="H97"/>
      <c r="I97"/>
      <c r="J97" s="243"/>
      <c r="K97"/>
      <c r="L97"/>
      <c r="M97"/>
      <c r="N97"/>
      <c r="O97"/>
      <c r="P97"/>
    </row>
    <row r="98" spans="1:16" ht="15" customHeight="1" x14ac:dyDescent="0.2">
      <c r="A98"/>
      <c r="B98"/>
      <c r="C98"/>
      <c r="H98"/>
      <c r="I98"/>
      <c r="J98" s="243"/>
      <c r="K98"/>
      <c r="L98"/>
      <c r="M98"/>
      <c r="N98"/>
      <c r="O98"/>
      <c r="P98"/>
    </row>
    <row r="99" spans="1:16" ht="15" customHeight="1" x14ac:dyDescent="0.2">
      <c r="A99"/>
      <c r="B99"/>
      <c r="C99"/>
      <c r="H99"/>
      <c r="I99"/>
      <c r="J99" s="243"/>
      <c r="K99"/>
      <c r="L99"/>
      <c r="M99"/>
      <c r="N99"/>
      <c r="O99"/>
      <c r="P99"/>
    </row>
    <row r="100" spans="1:16" ht="15" customHeight="1" x14ac:dyDescent="0.2">
      <c r="A100"/>
      <c r="B100"/>
      <c r="C100"/>
      <c r="H100"/>
      <c r="I100"/>
      <c r="J100" s="243"/>
      <c r="K100"/>
      <c r="L100"/>
      <c r="M100"/>
      <c r="N100"/>
      <c r="O100"/>
      <c r="P100"/>
    </row>
    <row r="101" spans="1:16" ht="15" customHeight="1" x14ac:dyDescent="0.2">
      <c r="A101"/>
      <c r="B101"/>
      <c r="C101"/>
      <c r="H101"/>
      <c r="I101"/>
      <c r="J101" s="243"/>
      <c r="K101"/>
      <c r="L101"/>
      <c r="M101"/>
      <c r="N101"/>
      <c r="O101"/>
      <c r="P101"/>
    </row>
    <row r="102" spans="1:16" ht="15" customHeight="1" x14ac:dyDescent="0.2">
      <c r="A102"/>
      <c r="B102"/>
      <c r="C102"/>
      <c r="H102"/>
      <c r="I102"/>
      <c r="J102" s="243"/>
      <c r="K102"/>
      <c r="L102"/>
      <c r="M102"/>
      <c r="N102"/>
      <c r="O102"/>
      <c r="P102"/>
    </row>
    <row r="103" spans="1:16" ht="15" customHeight="1" x14ac:dyDescent="0.2">
      <c r="A103"/>
      <c r="B103"/>
      <c r="C103"/>
      <c r="H103"/>
      <c r="I103"/>
      <c r="J103" s="243"/>
      <c r="K103"/>
      <c r="L103"/>
      <c r="M103"/>
      <c r="N103"/>
      <c r="O103"/>
      <c r="P103"/>
    </row>
    <row r="104" spans="1:16" ht="15" customHeight="1" x14ac:dyDescent="0.2">
      <c r="A104"/>
      <c r="B104"/>
      <c r="C104"/>
      <c r="H104"/>
      <c r="I104"/>
      <c r="J104" s="243"/>
      <c r="K104"/>
      <c r="L104"/>
      <c r="M104"/>
      <c r="N104"/>
      <c r="O104"/>
      <c r="P104"/>
    </row>
    <row r="105" spans="1:16" ht="15" customHeight="1" x14ac:dyDescent="0.2">
      <c r="A105"/>
      <c r="B105"/>
      <c r="C105"/>
      <c r="H105"/>
      <c r="I105"/>
      <c r="J105" s="243"/>
      <c r="K105"/>
      <c r="L105"/>
      <c r="M105"/>
      <c r="N105"/>
      <c r="O105"/>
      <c r="P105"/>
    </row>
    <row r="106" spans="1:16" ht="15" customHeight="1" x14ac:dyDescent="0.2">
      <c r="A106"/>
      <c r="B106"/>
      <c r="C106"/>
      <c r="H106"/>
      <c r="I106"/>
      <c r="J106" s="243"/>
      <c r="K106"/>
      <c r="L106"/>
      <c r="M106"/>
      <c r="N106"/>
      <c r="O106"/>
      <c r="P106"/>
    </row>
    <row r="107" spans="1:16" ht="15" customHeight="1" x14ac:dyDescent="0.2">
      <c r="A107"/>
      <c r="B107"/>
      <c r="C107"/>
      <c r="H107"/>
      <c r="I107"/>
      <c r="J107" s="243"/>
      <c r="K107"/>
      <c r="L107"/>
      <c r="M107"/>
      <c r="N107"/>
      <c r="O107"/>
      <c r="P107"/>
    </row>
    <row r="108" spans="1:16" ht="15" customHeight="1" x14ac:dyDescent="0.2">
      <c r="A108"/>
      <c r="B108"/>
      <c r="C108"/>
      <c r="H108"/>
      <c r="I108"/>
      <c r="J108" s="243"/>
      <c r="K108"/>
      <c r="L108"/>
      <c r="M108"/>
      <c r="N108"/>
      <c r="O108"/>
      <c r="P108"/>
    </row>
    <row r="109" spans="1:16" ht="15" customHeight="1" x14ac:dyDescent="0.2">
      <c r="A109"/>
      <c r="B109"/>
      <c r="C109"/>
      <c r="H109"/>
      <c r="I109"/>
      <c r="J109" s="243"/>
      <c r="K109"/>
      <c r="L109"/>
      <c r="M109"/>
      <c r="N109"/>
      <c r="O109"/>
      <c r="P109"/>
    </row>
    <row r="110" spans="1:16" ht="15" customHeight="1" x14ac:dyDescent="0.2">
      <c r="A110"/>
      <c r="B110"/>
      <c r="C110"/>
      <c r="H110"/>
      <c r="I110"/>
      <c r="J110" s="243"/>
      <c r="K110"/>
      <c r="L110"/>
      <c r="M110"/>
      <c r="N110"/>
      <c r="O110"/>
      <c r="P110"/>
    </row>
    <row r="111" spans="1:16" ht="15" customHeight="1" x14ac:dyDescent="0.2">
      <c r="A111"/>
      <c r="B111"/>
      <c r="C111"/>
      <c r="H111"/>
      <c r="I111"/>
      <c r="J111" s="243"/>
      <c r="K111"/>
      <c r="L111"/>
      <c r="M111"/>
      <c r="N111"/>
      <c r="O111"/>
      <c r="P111"/>
    </row>
    <row r="112" spans="1:16" ht="15" customHeight="1" x14ac:dyDescent="0.2">
      <c r="A112"/>
      <c r="B112"/>
      <c r="C112"/>
      <c r="H112"/>
      <c r="I112"/>
      <c r="J112" s="243"/>
      <c r="K112"/>
      <c r="L112"/>
      <c r="M112"/>
      <c r="N112"/>
      <c r="O112"/>
      <c r="P112"/>
    </row>
    <row r="113" spans="1:16" ht="15" customHeight="1" x14ac:dyDescent="0.2">
      <c r="A113"/>
      <c r="B113"/>
      <c r="C113"/>
      <c r="H113"/>
      <c r="I113"/>
      <c r="J113" s="243"/>
      <c r="K113"/>
      <c r="L113"/>
      <c r="M113"/>
      <c r="N113"/>
      <c r="O113"/>
      <c r="P113"/>
    </row>
    <row r="114" spans="1:16" ht="15" customHeight="1" x14ac:dyDescent="0.2">
      <c r="A114"/>
      <c r="B114"/>
      <c r="C114"/>
      <c r="H114"/>
      <c r="I114"/>
      <c r="J114" s="243"/>
      <c r="K114"/>
      <c r="L114"/>
      <c r="M114"/>
      <c r="N114"/>
      <c r="O114"/>
      <c r="P114"/>
    </row>
    <row r="115" spans="1:16" ht="15" customHeight="1" x14ac:dyDescent="0.2">
      <c r="A115"/>
      <c r="B115"/>
      <c r="C115"/>
      <c r="H115"/>
      <c r="I115"/>
      <c r="J115" s="243"/>
      <c r="K115"/>
      <c r="L115"/>
      <c r="M115"/>
      <c r="N115"/>
      <c r="O115"/>
      <c r="P115"/>
    </row>
    <row r="116" spans="1:16" ht="15" customHeight="1" x14ac:dyDescent="0.2">
      <c r="A116"/>
      <c r="B116"/>
      <c r="C116"/>
      <c r="H116"/>
      <c r="I116"/>
      <c r="J116" s="243"/>
      <c r="K116"/>
      <c r="L116"/>
      <c r="M116"/>
      <c r="N116"/>
      <c r="O116"/>
      <c r="P116"/>
    </row>
    <row r="117" spans="1:16" ht="15" customHeight="1" x14ac:dyDescent="0.2">
      <c r="A117"/>
      <c r="B117"/>
      <c r="C117"/>
      <c r="H117"/>
      <c r="I117"/>
      <c r="J117" s="243"/>
      <c r="K117"/>
      <c r="L117"/>
      <c r="M117"/>
      <c r="N117"/>
      <c r="O117"/>
      <c r="P117"/>
    </row>
    <row r="118" spans="1:16" ht="15" customHeight="1" x14ac:dyDescent="0.2">
      <c r="A118"/>
      <c r="B118"/>
      <c r="C118"/>
      <c r="H118"/>
      <c r="I118"/>
      <c r="J118" s="243"/>
      <c r="K118"/>
      <c r="L118"/>
      <c r="M118"/>
      <c r="N118"/>
      <c r="O118"/>
      <c r="P118"/>
    </row>
    <row r="119" spans="1:16" ht="15" customHeight="1" x14ac:dyDescent="0.2">
      <c r="A119"/>
      <c r="B119"/>
      <c r="C119"/>
      <c r="H119"/>
      <c r="I119"/>
      <c r="J119" s="243"/>
      <c r="K119"/>
      <c r="L119"/>
      <c r="M119"/>
      <c r="N119"/>
      <c r="O119"/>
      <c r="P119"/>
    </row>
    <row r="120" spans="1:16" ht="15" customHeight="1" x14ac:dyDescent="0.2">
      <c r="A120"/>
      <c r="B120"/>
      <c r="C120"/>
      <c r="H120"/>
      <c r="I120"/>
      <c r="J120" s="243"/>
      <c r="K120"/>
      <c r="L120"/>
      <c r="M120"/>
      <c r="N120"/>
      <c r="O120"/>
      <c r="P120"/>
    </row>
    <row r="121" spans="1:16" ht="15" customHeight="1" x14ac:dyDescent="0.2">
      <c r="A121"/>
      <c r="B121"/>
      <c r="C121"/>
      <c r="H121"/>
      <c r="I121"/>
      <c r="J121" s="243"/>
      <c r="K121"/>
      <c r="L121"/>
      <c r="M121"/>
      <c r="N121"/>
      <c r="O121"/>
      <c r="P121"/>
    </row>
    <row r="122" spans="1:16" ht="15" customHeight="1" x14ac:dyDescent="0.2">
      <c r="A122"/>
      <c r="B122"/>
      <c r="C122"/>
      <c r="H122"/>
      <c r="I122"/>
      <c r="J122" s="243"/>
      <c r="K122"/>
      <c r="L122"/>
      <c r="M122"/>
      <c r="N122"/>
      <c r="O122"/>
      <c r="P122"/>
    </row>
    <row r="123" spans="1:16" ht="15" customHeight="1" x14ac:dyDescent="0.2">
      <c r="A123"/>
      <c r="B123"/>
      <c r="C123"/>
      <c r="H123"/>
      <c r="I123"/>
      <c r="J123" s="243"/>
      <c r="K123"/>
      <c r="L123"/>
      <c r="M123"/>
      <c r="N123"/>
      <c r="O123"/>
      <c r="P123"/>
    </row>
    <row r="124" spans="1:16" ht="11.25" customHeight="1" x14ac:dyDescent="0.2">
      <c r="A124"/>
      <c r="B124"/>
      <c r="C124"/>
      <c r="H124"/>
      <c r="I124"/>
      <c r="J124" s="243"/>
      <c r="K124"/>
      <c r="L124"/>
      <c r="M124"/>
      <c r="N124"/>
      <c r="O124"/>
      <c r="P124"/>
    </row>
    <row r="125" spans="1:16" ht="27.75" customHeight="1" x14ac:dyDescent="0.2">
      <c r="A125"/>
      <c r="B125"/>
      <c r="C125"/>
      <c r="H125"/>
      <c r="I125"/>
      <c r="J125" s="243"/>
      <c r="K125"/>
      <c r="L125"/>
      <c r="M125"/>
      <c r="N125"/>
      <c r="O125"/>
      <c r="P125"/>
    </row>
    <row r="126" spans="1:16" ht="19.5" customHeight="1" x14ac:dyDescent="0.2">
      <c r="A126"/>
      <c r="B126"/>
      <c r="C126"/>
      <c r="H126"/>
      <c r="I126"/>
      <c r="J126" s="243"/>
      <c r="K126"/>
      <c r="L126"/>
      <c r="M126"/>
      <c r="N126"/>
      <c r="O126"/>
      <c r="P126"/>
    </row>
    <row r="127" spans="1:16" ht="42.75" customHeight="1" x14ac:dyDescent="0.2">
      <c r="A127"/>
      <c r="B127"/>
      <c r="C127"/>
      <c r="H127"/>
      <c r="I127"/>
      <c r="J127" s="243"/>
      <c r="K127"/>
      <c r="L127"/>
      <c r="M127"/>
      <c r="N127"/>
      <c r="O127"/>
      <c r="P127"/>
    </row>
    <row r="128" spans="1:16" ht="26.25" customHeight="1" x14ac:dyDescent="0.2">
      <c r="A128"/>
      <c r="B128"/>
      <c r="C128"/>
      <c r="H128"/>
      <c r="I128"/>
      <c r="J128" s="243"/>
      <c r="K128"/>
      <c r="L128"/>
      <c r="M128"/>
      <c r="N128"/>
      <c r="O128"/>
      <c r="P128"/>
    </row>
    <row r="129" spans="1:16" x14ac:dyDescent="0.2">
      <c r="A129"/>
      <c r="B129"/>
      <c r="C129"/>
      <c r="H129"/>
      <c r="I129"/>
      <c r="J129" s="243"/>
      <c r="K129"/>
      <c r="L129"/>
      <c r="M129"/>
      <c r="N129"/>
      <c r="O129"/>
      <c r="P129"/>
    </row>
    <row r="130" spans="1:16" ht="15" customHeight="1" x14ac:dyDescent="0.2">
      <c r="A130"/>
      <c r="B130"/>
      <c r="C130"/>
      <c r="H130"/>
      <c r="I130"/>
      <c r="J130" s="243"/>
      <c r="K130"/>
      <c r="L130"/>
      <c r="M130"/>
      <c r="N130"/>
      <c r="O130"/>
      <c r="P130"/>
    </row>
    <row r="131" spans="1:16" ht="15" customHeight="1" x14ac:dyDescent="0.2">
      <c r="A131"/>
      <c r="B131"/>
      <c r="C131"/>
      <c r="H131"/>
      <c r="I131"/>
      <c r="J131" s="243"/>
      <c r="K131"/>
      <c r="L131"/>
      <c r="M131"/>
      <c r="N131"/>
      <c r="O131"/>
      <c r="P131"/>
    </row>
    <row r="132" spans="1:16" x14ac:dyDescent="0.2">
      <c r="A132"/>
      <c r="B132"/>
      <c r="C132"/>
      <c r="H132"/>
      <c r="I132"/>
      <c r="J132" s="243"/>
      <c r="K132"/>
      <c r="L132"/>
      <c r="M132"/>
      <c r="N132"/>
      <c r="O132"/>
      <c r="P132"/>
    </row>
    <row r="133" spans="1:16" ht="12" customHeight="1" x14ac:dyDescent="0.2">
      <c r="A133"/>
      <c r="B133"/>
      <c r="C133"/>
      <c r="H133"/>
      <c r="I133"/>
      <c r="J133" s="243"/>
      <c r="K133"/>
      <c r="L133"/>
      <c r="M133"/>
      <c r="N133"/>
      <c r="O133"/>
      <c r="P133"/>
    </row>
    <row r="134" spans="1:16" ht="12" customHeight="1" x14ac:dyDescent="0.2">
      <c r="A134"/>
      <c r="B134"/>
      <c r="C134"/>
      <c r="H134"/>
      <c r="I134"/>
      <c r="J134" s="243"/>
      <c r="K134"/>
      <c r="L134"/>
      <c r="M134"/>
      <c r="N134"/>
      <c r="O134"/>
      <c r="P134"/>
    </row>
    <row r="135" spans="1:16" ht="12" customHeight="1" x14ac:dyDescent="0.2">
      <c r="A135"/>
      <c r="B135"/>
      <c r="C135"/>
      <c r="H135"/>
      <c r="I135"/>
      <c r="J135" s="243"/>
      <c r="K135"/>
      <c r="L135"/>
      <c r="M135"/>
      <c r="N135"/>
      <c r="O135"/>
      <c r="P135"/>
    </row>
    <row r="136" spans="1:16" ht="12" customHeight="1" x14ac:dyDescent="0.2">
      <c r="A136"/>
      <c r="B136"/>
      <c r="C136"/>
      <c r="H136"/>
      <c r="I136"/>
      <c r="J136" s="243"/>
      <c r="K136"/>
      <c r="L136"/>
      <c r="M136"/>
      <c r="N136"/>
      <c r="O136"/>
      <c r="P136"/>
    </row>
    <row r="137" spans="1:16" ht="12" customHeight="1" x14ac:dyDescent="0.2">
      <c r="A137"/>
      <c r="B137"/>
      <c r="C137"/>
      <c r="H137"/>
      <c r="I137"/>
      <c r="J137" s="243"/>
      <c r="K137"/>
      <c r="L137"/>
      <c r="M137"/>
      <c r="N137"/>
      <c r="O137"/>
      <c r="P137"/>
    </row>
    <row r="138" spans="1:16" ht="12" customHeight="1" x14ac:dyDescent="0.2">
      <c r="A138"/>
      <c r="B138"/>
      <c r="C138"/>
      <c r="H138"/>
      <c r="I138"/>
      <c r="J138" s="243"/>
      <c r="K138"/>
      <c r="L138"/>
      <c r="M138"/>
      <c r="N138"/>
      <c r="O138"/>
      <c r="P138"/>
    </row>
    <row r="139" spans="1:16" ht="15" customHeight="1" x14ac:dyDescent="0.2">
      <c r="A139"/>
      <c r="B139"/>
      <c r="C139"/>
      <c r="H139"/>
      <c r="I139"/>
      <c r="J139" s="243"/>
      <c r="K139"/>
      <c r="L139"/>
      <c r="M139"/>
      <c r="N139"/>
      <c r="O139"/>
      <c r="P139"/>
    </row>
    <row r="140" spans="1:16" x14ac:dyDescent="0.2">
      <c r="A140"/>
      <c r="B140"/>
      <c r="C140"/>
      <c r="H140"/>
      <c r="I140"/>
      <c r="J140" s="243"/>
      <c r="K140"/>
      <c r="L140"/>
      <c r="M140"/>
      <c r="N140"/>
      <c r="O140"/>
      <c r="P140"/>
    </row>
    <row r="141" spans="1:16" ht="12" customHeight="1" x14ac:dyDescent="0.2">
      <c r="A141"/>
      <c r="B141"/>
      <c r="C141"/>
      <c r="H141"/>
      <c r="I141"/>
      <c r="J141" s="243"/>
      <c r="K141"/>
      <c r="L141"/>
      <c r="M141"/>
      <c r="N141"/>
      <c r="O141"/>
      <c r="P141"/>
    </row>
    <row r="142" spans="1:16" ht="12" customHeight="1" x14ac:dyDescent="0.2">
      <c r="A142"/>
      <c r="B142"/>
      <c r="C142"/>
      <c r="H142"/>
      <c r="I142"/>
      <c r="J142" s="243"/>
      <c r="K142"/>
      <c r="L142"/>
      <c r="M142"/>
      <c r="N142"/>
      <c r="O142"/>
      <c r="P142"/>
    </row>
    <row r="143" spans="1:16" ht="12" customHeight="1" x14ac:dyDescent="0.2">
      <c r="A143"/>
      <c r="B143"/>
      <c r="C143"/>
      <c r="H143"/>
      <c r="I143"/>
      <c r="J143" s="243"/>
      <c r="K143"/>
      <c r="L143"/>
      <c r="M143"/>
      <c r="N143"/>
      <c r="O143"/>
      <c r="P143"/>
    </row>
    <row r="144" spans="1:16" ht="12" customHeight="1" x14ac:dyDescent="0.2">
      <c r="A144"/>
      <c r="B144"/>
      <c r="C144"/>
      <c r="H144"/>
      <c r="I144"/>
      <c r="J144" s="243"/>
      <c r="K144"/>
      <c r="L144"/>
      <c r="M144"/>
      <c r="N144"/>
      <c r="O144"/>
      <c r="P144"/>
    </row>
    <row r="145" spans="1:16" ht="12" customHeight="1" x14ac:dyDescent="0.2">
      <c r="A145"/>
      <c r="B145"/>
      <c r="C145"/>
      <c r="H145"/>
      <c r="I145"/>
      <c r="J145" s="243"/>
      <c r="K145"/>
      <c r="L145"/>
      <c r="M145"/>
      <c r="N145"/>
      <c r="O145"/>
      <c r="P145"/>
    </row>
    <row r="146" spans="1:16" ht="12" customHeight="1" x14ac:dyDescent="0.2">
      <c r="A146"/>
      <c r="B146"/>
      <c r="C146"/>
      <c r="H146"/>
      <c r="I146"/>
      <c r="J146" s="243"/>
      <c r="K146"/>
      <c r="L146"/>
      <c r="M146"/>
      <c r="N146"/>
      <c r="O146"/>
      <c r="P146"/>
    </row>
    <row r="147" spans="1:16" ht="12" customHeight="1" x14ac:dyDescent="0.2">
      <c r="A147"/>
      <c r="B147"/>
      <c r="C147"/>
      <c r="H147"/>
      <c r="I147"/>
      <c r="J147" s="243"/>
      <c r="K147"/>
      <c r="L147"/>
      <c r="M147"/>
      <c r="N147"/>
      <c r="O147"/>
      <c r="P147"/>
    </row>
    <row r="148" spans="1:16" x14ac:dyDescent="0.2">
      <c r="A148"/>
      <c r="B148"/>
      <c r="C148"/>
      <c r="H148"/>
      <c r="I148"/>
      <c r="J148" s="243"/>
      <c r="K148"/>
      <c r="L148"/>
      <c r="M148"/>
      <c r="N148"/>
      <c r="O148"/>
      <c r="P148"/>
    </row>
    <row r="149" spans="1:16" x14ac:dyDescent="0.2">
      <c r="A149"/>
      <c r="B149"/>
      <c r="C149"/>
      <c r="H149"/>
      <c r="I149"/>
      <c r="J149" s="243"/>
      <c r="K149"/>
      <c r="L149"/>
      <c r="M149"/>
      <c r="N149"/>
      <c r="O149"/>
      <c r="P149"/>
    </row>
    <row r="150" spans="1:16" x14ac:dyDescent="0.2">
      <c r="A150"/>
      <c r="B150"/>
      <c r="C150"/>
      <c r="H150"/>
      <c r="I150"/>
      <c r="J150" s="243"/>
      <c r="K150"/>
      <c r="L150"/>
      <c r="M150"/>
      <c r="N150"/>
      <c r="O150"/>
      <c r="P150"/>
    </row>
    <row r="151" spans="1:16" ht="12" customHeight="1" x14ac:dyDescent="0.2">
      <c r="A151"/>
      <c r="B151"/>
      <c r="C151"/>
      <c r="H151"/>
      <c r="I151"/>
      <c r="J151" s="243"/>
      <c r="K151"/>
      <c r="L151"/>
      <c r="M151"/>
      <c r="N151"/>
      <c r="O151"/>
      <c r="P151"/>
    </row>
    <row r="152" spans="1:16" ht="12" customHeight="1" x14ac:dyDescent="0.2">
      <c r="A152"/>
      <c r="B152"/>
      <c r="C152"/>
      <c r="H152"/>
      <c r="I152"/>
      <c r="J152" s="243"/>
      <c r="K152"/>
      <c r="L152"/>
      <c r="M152"/>
      <c r="N152"/>
      <c r="O152"/>
      <c r="P152"/>
    </row>
    <row r="153" spans="1:16" ht="12" customHeight="1" x14ac:dyDescent="0.2">
      <c r="A153"/>
      <c r="B153"/>
      <c r="C153"/>
      <c r="H153"/>
      <c r="I153"/>
      <c r="J153" s="243"/>
      <c r="K153"/>
      <c r="L153"/>
      <c r="M153"/>
      <c r="N153"/>
      <c r="O153"/>
      <c r="P153"/>
    </row>
    <row r="154" spans="1:16" ht="12" customHeight="1" x14ac:dyDescent="0.2">
      <c r="A154"/>
      <c r="B154"/>
      <c r="C154"/>
      <c r="H154"/>
      <c r="I154"/>
      <c r="J154" s="243"/>
      <c r="K154"/>
      <c r="L154"/>
      <c r="M154"/>
      <c r="N154"/>
      <c r="O154"/>
      <c r="P154"/>
    </row>
    <row r="155" spans="1:16" ht="12" customHeight="1" x14ac:dyDescent="0.2">
      <c r="A155"/>
      <c r="B155"/>
      <c r="C155"/>
      <c r="H155"/>
      <c r="I155"/>
      <c r="J155" s="243"/>
      <c r="K155"/>
      <c r="L155"/>
      <c r="M155"/>
      <c r="N155"/>
      <c r="O155"/>
      <c r="P155"/>
    </row>
    <row r="156" spans="1:16" x14ac:dyDescent="0.2">
      <c r="A156"/>
      <c r="B156"/>
      <c r="C156"/>
      <c r="H156"/>
      <c r="I156"/>
      <c r="J156" s="243"/>
      <c r="K156"/>
      <c r="L156"/>
      <c r="M156"/>
      <c r="N156"/>
      <c r="O156"/>
      <c r="P156"/>
    </row>
    <row r="157" spans="1:16" x14ac:dyDescent="0.2">
      <c r="A157"/>
      <c r="B157"/>
      <c r="C157"/>
      <c r="H157"/>
      <c r="I157"/>
      <c r="J157" s="243"/>
      <c r="K157"/>
      <c r="L157"/>
      <c r="M157"/>
      <c r="N157"/>
      <c r="O157"/>
      <c r="P157"/>
    </row>
    <row r="158" spans="1:16" ht="12" customHeight="1" x14ac:dyDescent="0.2">
      <c r="A158"/>
      <c r="B158"/>
      <c r="C158"/>
      <c r="H158"/>
      <c r="I158"/>
      <c r="J158" s="243"/>
      <c r="K158"/>
      <c r="L158"/>
      <c r="M158"/>
      <c r="N158"/>
      <c r="O158"/>
      <c r="P158"/>
    </row>
    <row r="159" spans="1:16" ht="12" customHeight="1" x14ac:dyDescent="0.2">
      <c r="A159"/>
      <c r="B159"/>
      <c r="C159"/>
      <c r="H159"/>
      <c r="I159"/>
      <c r="J159" s="243"/>
      <c r="K159"/>
      <c r="L159"/>
      <c r="M159"/>
      <c r="N159"/>
      <c r="O159"/>
      <c r="P159"/>
    </row>
    <row r="160" spans="1:16" ht="12" customHeight="1" x14ac:dyDescent="0.2">
      <c r="A160"/>
      <c r="B160"/>
      <c r="C160"/>
      <c r="H160"/>
      <c r="I160"/>
      <c r="J160" s="243"/>
      <c r="K160"/>
      <c r="L160"/>
      <c r="M160"/>
      <c r="N160"/>
      <c r="O160"/>
      <c r="P160"/>
    </row>
    <row r="161" spans="1:16" ht="12" customHeight="1" x14ac:dyDescent="0.2">
      <c r="A161"/>
      <c r="B161"/>
      <c r="C161"/>
      <c r="H161"/>
      <c r="I161"/>
      <c r="J161" s="243"/>
      <c r="K161"/>
      <c r="L161"/>
      <c r="M161"/>
      <c r="N161"/>
      <c r="O161"/>
      <c r="P161"/>
    </row>
    <row r="162" spans="1:16" ht="12" customHeight="1" x14ac:dyDescent="0.2">
      <c r="A162"/>
      <c r="B162"/>
      <c r="C162"/>
      <c r="H162"/>
      <c r="I162"/>
      <c r="J162" s="243"/>
      <c r="K162"/>
      <c r="L162"/>
      <c r="M162"/>
      <c r="N162"/>
      <c r="O162"/>
      <c r="P162"/>
    </row>
    <row r="163" spans="1:16" ht="12" customHeight="1" x14ac:dyDescent="0.2">
      <c r="A163"/>
      <c r="B163"/>
      <c r="C163"/>
      <c r="H163"/>
      <c r="I163"/>
      <c r="J163" s="243"/>
      <c r="K163"/>
      <c r="L163"/>
      <c r="M163"/>
      <c r="N163"/>
      <c r="O163"/>
      <c r="P163"/>
    </row>
    <row r="164" spans="1:16" x14ac:dyDescent="0.2">
      <c r="A164"/>
      <c r="B164"/>
      <c r="C164"/>
      <c r="H164"/>
      <c r="I164"/>
      <c r="J164" s="243"/>
      <c r="K164"/>
      <c r="L164"/>
      <c r="M164"/>
      <c r="N164"/>
      <c r="O164"/>
      <c r="P164"/>
    </row>
    <row r="165" spans="1:16" x14ac:dyDescent="0.2">
      <c r="A165"/>
      <c r="B165"/>
      <c r="C165"/>
      <c r="H165"/>
      <c r="I165"/>
      <c r="J165" s="243"/>
      <c r="K165"/>
      <c r="L165"/>
      <c r="M165"/>
      <c r="N165"/>
      <c r="O165"/>
      <c r="P165"/>
    </row>
    <row r="166" spans="1:16" x14ac:dyDescent="0.2">
      <c r="A166"/>
      <c r="B166"/>
      <c r="C166"/>
      <c r="H166"/>
      <c r="I166"/>
      <c r="J166" s="243"/>
      <c r="K166"/>
      <c r="L166"/>
      <c r="M166"/>
      <c r="N166"/>
      <c r="O166"/>
      <c r="P166"/>
    </row>
    <row r="167" spans="1:16" ht="12" customHeight="1" x14ac:dyDescent="0.2">
      <c r="A167"/>
      <c r="B167"/>
      <c r="C167"/>
      <c r="H167"/>
      <c r="I167"/>
      <c r="J167" s="243"/>
      <c r="K167"/>
      <c r="L167"/>
      <c r="M167"/>
      <c r="N167"/>
      <c r="O167"/>
      <c r="P167"/>
    </row>
    <row r="168" spans="1:16" ht="12" customHeight="1" x14ac:dyDescent="0.2">
      <c r="A168"/>
      <c r="B168"/>
      <c r="C168"/>
      <c r="H168"/>
      <c r="I168"/>
      <c r="J168" s="243"/>
      <c r="K168"/>
      <c r="L168"/>
      <c r="M168"/>
      <c r="N168"/>
      <c r="O168"/>
      <c r="P168"/>
    </row>
    <row r="169" spans="1:16" ht="12" customHeight="1" x14ac:dyDescent="0.2">
      <c r="A169"/>
      <c r="B169"/>
      <c r="C169"/>
      <c r="H169"/>
      <c r="I169"/>
      <c r="J169" s="243"/>
      <c r="K169"/>
      <c r="L169"/>
      <c r="M169"/>
      <c r="N169"/>
      <c r="O169"/>
      <c r="P169"/>
    </row>
    <row r="170" spans="1:16" ht="12" customHeight="1" x14ac:dyDescent="0.2">
      <c r="A170"/>
      <c r="B170"/>
      <c r="C170"/>
      <c r="H170"/>
      <c r="I170"/>
      <c r="J170" s="243"/>
      <c r="K170"/>
      <c r="L170"/>
      <c r="M170"/>
      <c r="N170"/>
      <c r="O170"/>
      <c r="P170"/>
    </row>
    <row r="171" spans="1:16" ht="12" customHeight="1" x14ac:dyDescent="0.2">
      <c r="A171"/>
      <c r="B171"/>
      <c r="C171"/>
      <c r="H171"/>
      <c r="I171"/>
      <c r="J171" s="243"/>
      <c r="K171"/>
      <c r="L171"/>
      <c r="M171"/>
      <c r="N171"/>
      <c r="O171"/>
      <c r="P171"/>
    </row>
    <row r="172" spans="1:16" x14ac:dyDescent="0.2">
      <c r="A172"/>
      <c r="B172"/>
      <c r="C172"/>
      <c r="H172"/>
      <c r="I172"/>
      <c r="J172" s="243"/>
      <c r="K172"/>
      <c r="L172"/>
      <c r="M172"/>
      <c r="N172"/>
      <c r="O172"/>
      <c r="P172"/>
    </row>
    <row r="173" spans="1:16" x14ac:dyDescent="0.2">
      <c r="A173"/>
      <c r="B173"/>
      <c r="C173"/>
      <c r="H173"/>
      <c r="I173"/>
      <c r="J173" s="243"/>
      <c r="K173"/>
      <c r="L173"/>
      <c r="M173"/>
      <c r="N173"/>
      <c r="O173"/>
      <c r="P173"/>
    </row>
    <row r="174" spans="1:16" x14ac:dyDescent="0.2">
      <c r="A174"/>
      <c r="B174"/>
      <c r="C174"/>
      <c r="H174"/>
      <c r="I174"/>
      <c r="J174" s="243"/>
      <c r="K174"/>
      <c r="L174"/>
      <c r="M174"/>
      <c r="N174"/>
      <c r="O174"/>
      <c r="P174"/>
    </row>
    <row r="175" spans="1:16" ht="12" customHeight="1" x14ac:dyDescent="0.2">
      <c r="A175"/>
      <c r="B175"/>
      <c r="C175"/>
      <c r="H175"/>
      <c r="I175"/>
      <c r="J175" s="243"/>
      <c r="K175"/>
      <c r="L175"/>
      <c r="M175"/>
      <c r="N175"/>
      <c r="O175"/>
      <c r="P175"/>
    </row>
    <row r="176" spans="1:16" ht="12" customHeight="1" x14ac:dyDescent="0.2">
      <c r="A176"/>
      <c r="B176"/>
      <c r="C176"/>
      <c r="H176"/>
      <c r="I176"/>
      <c r="J176" s="243"/>
      <c r="K176"/>
      <c r="L176"/>
      <c r="M176"/>
      <c r="N176"/>
      <c r="O176"/>
      <c r="P176"/>
    </row>
    <row r="177" spans="1:16" ht="12" customHeight="1" x14ac:dyDescent="0.2">
      <c r="A177"/>
      <c r="B177"/>
      <c r="C177"/>
      <c r="H177"/>
      <c r="I177"/>
      <c r="J177" s="243"/>
      <c r="K177"/>
      <c r="L177"/>
      <c r="M177"/>
      <c r="N177"/>
      <c r="O177"/>
      <c r="P177"/>
    </row>
    <row r="178" spans="1:16" ht="12" customHeight="1" x14ac:dyDescent="0.2">
      <c r="A178"/>
      <c r="B178"/>
      <c r="C178"/>
      <c r="H178"/>
      <c r="I178"/>
      <c r="J178" s="243"/>
      <c r="K178"/>
      <c r="L178"/>
      <c r="M178"/>
      <c r="N178"/>
      <c r="O178"/>
      <c r="P178"/>
    </row>
    <row r="179" spans="1:16" ht="12" customHeight="1" x14ac:dyDescent="0.2">
      <c r="A179"/>
      <c r="B179"/>
      <c r="C179"/>
      <c r="H179"/>
      <c r="I179"/>
      <c r="J179" s="243"/>
      <c r="K179"/>
      <c r="L179"/>
      <c r="M179"/>
      <c r="N179"/>
      <c r="O179"/>
      <c r="P179"/>
    </row>
    <row r="180" spans="1:16" x14ac:dyDescent="0.2">
      <c r="A180"/>
      <c r="B180"/>
      <c r="C180"/>
      <c r="H180"/>
      <c r="I180"/>
      <c r="J180" s="243"/>
      <c r="K180"/>
      <c r="L180"/>
      <c r="M180"/>
      <c r="N180"/>
      <c r="O180"/>
      <c r="P180"/>
    </row>
    <row r="181" spans="1:16" x14ac:dyDescent="0.2">
      <c r="A181"/>
      <c r="B181"/>
      <c r="C181"/>
      <c r="H181"/>
      <c r="I181"/>
      <c r="J181" s="243"/>
      <c r="K181"/>
      <c r="L181"/>
      <c r="M181"/>
      <c r="N181"/>
      <c r="O181"/>
      <c r="P181"/>
    </row>
    <row r="182" spans="1:16" x14ac:dyDescent="0.2">
      <c r="A182"/>
      <c r="B182"/>
      <c r="C182"/>
      <c r="H182"/>
      <c r="I182"/>
      <c r="J182" s="243"/>
      <c r="K182"/>
      <c r="L182"/>
      <c r="M182"/>
      <c r="N182"/>
      <c r="O182"/>
      <c r="P182"/>
    </row>
    <row r="183" spans="1:16" ht="12" customHeight="1" x14ac:dyDescent="0.2">
      <c r="A183"/>
      <c r="B183"/>
      <c r="C183"/>
      <c r="H183"/>
      <c r="I183"/>
      <c r="J183" s="243"/>
      <c r="K183"/>
      <c r="L183"/>
      <c r="M183"/>
      <c r="N183"/>
      <c r="O183"/>
      <c r="P183"/>
    </row>
    <row r="184" spans="1:16" ht="12" customHeight="1" x14ac:dyDescent="0.2">
      <c r="A184"/>
      <c r="B184"/>
      <c r="C184"/>
      <c r="H184"/>
      <c r="I184"/>
      <c r="J184" s="243"/>
      <c r="K184"/>
      <c r="L184"/>
      <c r="M184"/>
      <c r="N184"/>
      <c r="O184"/>
      <c r="P184"/>
    </row>
    <row r="185" spans="1:16" ht="12" customHeight="1" x14ac:dyDescent="0.2">
      <c r="A185"/>
      <c r="B185"/>
      <c r="C185"/>
      <c r="H185"/>
      <c r="I185"/>
      <c r="J185" s="243"/>
      <c r="K185"/>
      <c r="L185"/>
      <c r="M185"/>
      <c r="N185"/>
      <c r="O185"/>
      <c r="P185"/>
    </row>
    <row r="186" spans="1:16" ht="12" customHeight="1" x14ac:dyDescent="0.2">
      <c r="A186"/>
      <c r="B186"/>
      <c r="C186"/>
      <c r="H186"/>
      <c r="I186"/>
      <c r="J186" s="243"/>
      <c r="K186"/>
      <c r="L186"/>
      <c r="M186"/>
      <c r="N186"/>
      <c r="O186"/>
      <c r="P186"/>
    </row>
    <row r="187" spans="1:16" ht="12" customHeight="1" x14ac:dyDescent="0.2">
      <c r="A187"/>
      <c r="B187"/>
      <c r="C187"/>
      <c r="H187"/>
      <c r="I187"/>
      <c r="J187" s="243"/>
      <c r="K187"/>
      <c r="L187"/>
      <c r="M187"/>
      <c r="N187"/>
      <c r="O187"/>
      <c r="P187"/>
    </row>
    <row r="188" spans="1:16" ht="12" customHeight="1" x14ac:dyDescent="0.2">
      <c r="A188"/>
      <c r="B188"/>
      <c r="C188"/>
      <c r="H188"/>
      <c r="I188"/>
      <c r="J188" s="243"/>
      <c r="K188"/>
      <c r="L188"/>
      <c r="M188"/>
      <c r="N188"/>
      <c r="O188"/>
      <c r="P188"/>
    </row>
    <row r="189" spans="1:16" x14ac:dyDescent="0.2">
      <c r="A189"/>
      <c r="B189"/>
      <c r="C189"/>
      <c r="H189"/>
      <c r="I189"/>
      <c r="J189" s="243"/>
      <c r="K189"/>
      <c r="L189"/>
      <c r="M189"/>
      <c r="N189"/>
      <c r="O189"/>
      <c r="P189"/>
    </row>
    <row r="190" spans="1:16" x14ac:dyDescent="0.2">
      <c r="A190"/>
      <c r="B190"/>
      <c r="C190"/>
      <c r="H190"/>
      <c r="I190"/>
      <c r="J190" s="243"/>
      <c r="K190"/>
      <c r="L190"/>
      <c r="M190"/>
      <c r="N190"/>
      <c r="O190"/>
      <c r="P190"/>
    </row>
    <row r="191" spans="1:16" x14ac:dyDescent="0.2">
      <c r="A191"/>
      <c r="B191"/>
      <c r="C191"/>
      <c r="H191"/>
      <c r="I191"/>
      <c r="J191" s="243"/>
      <c r="K191"/>
      <c r="L191"/>
      <c r="M191"/>
      <c r="N191"/>
      <c r="O191"/>
      <c r="P191"/>
    </row>
    <row r="192" spans="1:16" ht="12" customHeight="1" x14ac:dyDescent="0.2">
      <c r="A192"/>
      <c r="B192"/>
      <c r="C192"/>
      <c r="H192"/>
      <c r="I192"/>
      <c r="J192" s="243"/>
      <c r="K192"/>
      <c r="L192"/>
      <c r="M192"/>
      <c r="N192"/>
      <c r="O192"/>
      <c r="P192"/>
    </row>
    <row r="193" spans="1:16" ht="12" customHeight="1" x14ac:dyDescent="0.2">
      <c r="A193"/>
      <c r="B193"/>
      <c r="C193"/>
      <c r="H193"/>
      <c r="I193"/>
      <c r="J193" s="243"/>
      <c r="K193"/>
      <c r="L193"/>
      <c r="M193"/>
      <c r="N193"/>
      <c r="O193"/>
      <c r="P193"/>
    </row>
    <row r="194" spans="1:16" ht="12" customHeight="1" x14ac:dyDescent="0.2">
      <c r="A194"/>
      <c r="B194"/>
      <c r="C194"/>
      <c r="H194"/>
      <c r="I194"/>
      <c r="J194" s="243"/>
      <c r="K194"/>
      <c r="L194"/>
      <c r="M194"/>
      <c r="N194"/>
      <c r="O194"/>
      <c r="P194"/>
    </row>
    <row r="195" spans="1:16" ht="12" customHeight="1" x14ac:dyDescent="0.2">
      <c r="A195"/>
      <c r="B195"/>
      <c r="C195"/>
      <c r="H195"/>
      <c r="I195"/>
      <c r="J195" s="243"/>
      <c r="K195"/>
      <c r="L195"/>
      <c r="M195"/>
      <c r="N195"/>
      <c r="O195"/>
      <c r="P195"/>
    </row>
    <row r="196" spans="1:16" ht="12" customHeight="1" x14ac:dyDescent="0.2">
      <c r="A196"/>
      <c r="B196"/>
      <c r="C196"/>
      <c r="H196"/>
      <c r="I196"/>
      <c r="J196" s="243"/>
      <c r="K196"/>
      <c r="L196"/>
      <c r="M196"/>
      <c r="N196"/>
      <c r="O196"/>
      <c r="P196"/>
    </row>
    <row r="197" spans="1:16" x14ac:dyDescent="0.2">
      <c r="A197"/>
      <c r="B197"/>
      <c r="C197"/>
      <c r="H197"/>
      <c r="I197"/>
      <c r="J197" s="243"/>
      <c r="K197"/>
      <c r="L197"/>
      <c r="M197"/>
      <c r="N197"/>
      <c r="O197"/>
      <c r="P197"/>
    </row>
    <row r="198" spans="1:16" x14ac:dyDescent="0.2">
      <c r="A198"/>
      <c r="B198"/>
      <c r="C198"/>
      <c r="H198"/>
      <c r="I198"/>
      <c r="J198" s="243"/>
      <c r="K198"/>
      <c r="L198"/>
      <c r="M198"/>
      <c r="N198"/>
      <c r="O198"/>
      <c r="P198"/>
    </row>
    <row r="199" spans="1:16" x14ac:dyDescent="0.2">
      <c r="A199"/>
      <c r="B199"/>
      <c r="C199"/>
      <c r="H199"/>
      <c r="I199"/>
      <c r="J199" s="243"/>
      <c r="K199"/>
      <c r="L199"/>
      <c r="M199"/>
      <c r="N199"/>
      <c r="O199"/>
      <c r="P199"/>
    </row>
    <row r="200" spans="1:16" ht="12" customHeight="1" x14ac:dyDescent="0.2">
      <c r="A200"/>
      <c r="B200"/>
      <c r="C200"/>
      <c r="H200"/>
      <c r="I200"/>
      <c r="J200" s="243"/>
      <c r="K200"/>
      <c r="L200"/>
      <c r="M200"/>
      <c r="N200"/>
      <c r="O200"/>
      <c r="P200"/>
    </row>
    <row r="201" spans="1:16" ht="12" customHeight="1" x14ac:dyDescent="0.2">
      <c r="A201"/>
      <c r="B201"/>
      <c r="C201"/>
      <c r="H201"/>
      <c r="I201"/>
      <c r="J201" s="243"/>
      <c r="K201"/>
      <c r="L201"/>
      <c r="M201"/>
      <c r="N201"/>
      <c r="O201"/>
      <c r="P201"/>
    </row>
    <row r="202" spans="1:16" ht="12" customHeight="1" x14ac:dyDescent="0.2">
      <c r="A202"/>
      <c r="B202"/>
      <c r="C202"/>
      <c r="H202"/>
      <c r="I202"/>
      <c r="J202" s="243"/>
      <c r="K202"/>
      <c r="L202"/>
      <c r="M202"/>
      <c r="N202"/>
      <c r="O202"/>
      <c r="P202"/>
    </row>
    <row r="203" spans="1:16" ht="12" customHeight="1" x14ac:dyDescent="0.2">
      <c r="A203"/>
      <c r="B203"/>
      <c r="C203"/>
      <c r="H203"/>
      <c r="I203"/>
      <c r="J203" s="243"/>
      <c r="K203"/>
      <c r="L203"/>
      <c r="M203"/>
      <c r="N203"/>
      <c r="O203"/>
      <c r="P203"/>
    </row>
    <row r="204" spans="1:16" ht="12" customHeight="1" x14ac:dyDescent="0.2">
      <c r="A204"/>
      <c r="B204"/>
      <c r="C204"/>
      <c r="H204"/>
      <c r="I204"/>
      <c r="J204" s="243"/>
      <c r="K204"/>
      <c r="L204"/>
      <c r="M204"/>
      <c r="N204"/>
      <c r="O204"/>
      <c r="P204"/>
    </row>
    <row r="205" spans="1:16" ht="12" customHeight="1" x14ac:dyDescent="0.2">
      <c r="A205"/>
      <c r="B205"/>
      <c r="C205"/>
      <c r="H205"/>
      <c r="I205"/>
      <c r="J205" s="243"/>
      <c r="K205"/>
      <c r="L205"/>
      <c r="M205"/>
      <c r="N205"/>
      <c r="O205"/>
      <c r="P205"/>
    </row>
    <row r="206" spans="1:16" ht="12" customHeight="1" x14ac:dyDescent="0.2">
      <c r="A206"/>
      <c r="B206"/>
      <c r="C206"/>
      <c r="H206"/>
      <c r="I206"/>
      <c r="J206" s="243"/>
      <c r="K206"/>
      <c r="L206"/>
      <c r="M206"/>
      <c r="N206"/>
      <c r="O206"/>
      <c r="P206"/>
    </row>
    <row r="207" spans="1:16" ht="12" customHeight="1" x14ac:dyDescent="0.2">
      <c r="A207"/>
      <c r="B207"/>
      <c r="C207"/>
      <c r="H207"/>
      <c r="I207"/>
      <c r="J207" s="243"/>
      <c r="K207"/>
      <c r="L207"/>
      <c r="M207"/>
      <c r="N207"/>
      <c r="O207"/>
      <c r="P207"/>
    </row>
    <row r="208" spans="1:16" x14ac:dyDescent="0.2">
      <c r="A208"/>
      <c r="B208"/>
      <c r="C208"/>
      <c r="H208"/>
      <c r="I208"/>
      <c r="J208" s="243"/>
      <c r="K208"/>
      <c r="L208"/>
      <c r="M208"/>
      <c r="N208"/>
      <c r="O208"/>
      <c r="P208"/>
    </row>
    <row r="209" spans="1:16" ht="12" customHeight="1" x14ac:dyDescent="0.2">
      <c r="A209"/>
      <c r="B209"/>
      <c r="C209"/>
      <c r="H209"/>
      <c r="I209"/>
      <c r="J209" s="243"/>
      <c r="K209"/>
      <c r="L209"/>
      <c r="M209"/>
      <c r="N209"/>
      <c r="O209"/>
      <c r="P209"/>
    </row>
    <row r="210" spans="1:16" ht="12" customHeight="1" x14ac:dyDescent="0.2">
      <c r="A210"/>
      <c r="B210"/>
      <c r="C210"/>
      <c r="H210"/>
      <c r="I210"/>
      <c r="J210" s="243"/>
      <c r="K210"/>
      <c r="L210"/>
      <c r="M210"/>
      <c r="N210"/>
      <c r="O210"/>
      <c r="P210"/>
    </row>
    <row r="211" spans="1:16" ht="12" customHeight="1" x14ac:dyDescent="0.2">
      <c r="A211"/>
      <c r="B211"/>
      <c r="C211"/>
      <c r="H211"/>
      <c r="I211"/>
      <c r="J211" s="243"/>
      <c r="K211"/>
      <c r="L211"/>
      <c r="M211"/>
      <c r="N211"/>
      <c r="O211"/>
      <c r="P211"/>
    </row>
    <row r="212" spans="1:16" ht="12" customHeight="1" x14ac:dyDescent="0.2">
      <c r="A212"/>
      <c r="B212"/>
      <c r="C212"/>
      <c r="H212"/>
      <c r="I212"/>
      <c r="J212" s="243"/>
      <c r="K212"/>
      <c r="L212"/>
      <c r="M212"/>
      <c r="N212"/>
      <c r="O212"/>
      <c r="P212"/>
    </row>
    <row r="213" spans="1:16" ht="12" customHeight="1" x14ac:dyDescent="0.2">
      <c r="A213"/>
      <c r="B213"/>
      <c r="C213"/>
      <c r="H213"/>
      <c r="I213"/>
      <c r="J213" s="243"/>
      <c r="K213"/>
      <c r="L213"/>
      <c r="M213"/>
      <c r="N213"/>
      <c r="O213"/>
      <c r="P213"/>
    </row>
    <row r="214" spans="1:16" ht="12" customHeight="1" x14ac:dyDescent="0.2">
      <c r="A214"/>
      <c r="B214"/>
      <c r="C214"/>
      <c r="H214"/>
      <c r="I214"/>
      <c r="J214" s="243"/>
      <c r="K214"/>
      <c r="L214"/>
      <c r="M214"/>
      <c r="N214"/>
      <c r="O214"/>
      <c r="P214"/>
    </row>
    <row r="215" spans="1:16" x14ac:dyDescent="0.2">
      <c r="A215"/>
      <c r="B215"/>
      <c r="C215"/>
      <c r="H215"/>
      <c r="I215"/>
      <c r="J215" s="243"/>
      <c r="K215"/>
      <c r="L215"/>
      <c r="M215"/>
      <c r="N215"/>
      <c r="O215"/>
      <c r="P215"/>
    </row>
    <row r="216" spans="1:16" x14ac:dyDescent="0.2">
      <c r="A216"/>
      <c r="B216"/>
      <c r="C216"/>
      <c r="H216"/>
      <c r="I216"/>
      <c r="J216" s="243"/>
      <c r="K216"/>
      <c r="L216"/>
      <c r="M216"/>
      <c r="N216"/>
      <c r="O216"/>
      <c r="P216"/>
    </row>
    <row r="217" spans="1:16" x14ac:dyDescent="0.2">
      <c r="A217"/>
      <c r="B217"/>
      <c r="C217"/>
      <c r="H217"/>
      <c r="I217"/>
      <c r="J217" s="243"/>
      <c r="K217"/>
      <c r="L217"/>
      <c r="M217"/>
      <c r="N217"/>
      <c r="O217"/>
      <c r="P217"/>
    </row>
    <row r="218" spans="1:16" x14ac:dyDescent="0.2">
      <c r="A218"/>
      <c r="B218"/>
      <c r="C218"/>
      <c r="H218"/>
      <c r="I218"/>
      <c r="J218" s="243"/>
      <c r="K218"/>
      <c r="L218"/>
      <c r="M218"/>
      <c r="N218"/>
      <c r="O218"/>
      <c r="P218"/>
    </row>
    <row r="219" spans="1:16" ht="12" customHeight="1" x14ac:dyDescent="0.2">
      <c r="A219"/>
      <c r="B219"/>
      <c r="C219"/>
      <c r="H219"/>
      <c r="I219"/>
      <c r="J219" s="243"/>
      <c r="K219"/>
      <c r="L219"/>
      <c r="M219"/>
      <c r="N219"/>
      <c r="O219"/>
      <c r="P219"/>
    </row>
    <row r="220" spans="1:16" ht="12" customHeight="1" x14ac:dyDescent="0.2">
      <c r="A220"/>
      <c r="B220"/>
      <c r="C220"/>
      <c r="H220"/>
      <c r="I220"/>
      <c r="J220" s="243"/>
      <c r="K220"/>
      <c r="L220"/>
      <c r="M220"/>
      <c r="N220"/>
      <c r="O220"/>
      <c r="P220"/>
    </row>
    <row r="221" spans="1:16" ht="12" customHeight="1" x14ac:dyDescent="0.2">
      <c r="A221"/>
      <c r="B221"/>
      <c r="C221"/>
      <c r="H221"/>
      <c r="I221"/>
      <c r="J221" s="243"/>
      <c r="K221"/>
      <c r="L221"/>
      <c r="M221"/>
      <c r="N221"/>
      <c r="O221"/>
      <c r="P221"/>
    </row>
    <row r="222" spans="1:16" ht="12" customHeight="1" x14ac:dyDescent="0.2">
      <c r="A222"/>
      <c r="B222"/>
      <c r="C222"/>
      <c r="H222"/>
      <c r="I222"/>
      <c r="J222" s="243"/>
      <c r="K222"/>
      <c r="L222"/>
      <c r="M222"/>
      <c r="N222"/>
      <c r="O222"/>
      <c r="P222"/>
    </row>
    <row r="223" spans="1:16" ht="12" customHeight="1" x14ac:dyDescent="0.2">
      <c r="A223"/>
      <c r="B223"/>
      <c r="C223"/>
      <c r="H223"/>
      <c r="I223"/>
      <c r="J223" s="243"/>
      <c r="K223"/>
      <c r="L223"/>
      <c r="M223"/>
      <c r="N223"/>
      <c r="O223"/>
      <c r="P223"/>
    </row>
    <row r="224" spans="1:16" ht="12" customHeight="1" x14ac:dyDescent="0.2">
      <c r="A224"/>
      <c r="B224"/>
      <c r="C224"/>
      <c r="H224"/>
      <c r="I224"/>
      <c r="J224" s="243"/>
      <c r="K224"/>
      <c r="L224"/>
      <c r="M224"/>
      <c r="N224"/>
      <c r="O224"/>
      <c r="P224"/>
    </row>
    <row r="225" spans="1:16" x14ac:dyDescent="0.2">
      <c r="A225"/>
      <c r="B225"/>
      <c r="C225"/>
      <c r="H225"/>
      <c r="I225"/>
      <c r="J225" s="243"/>
      <c r="K225"/>
      <c r="L225"/>
      <c r="M225"/>
      <c r="N225"/>
      <c r="O225"/>
      <c r="P225"/>
    </row>
    <row r="226" spans="1:16" x14ac:dyDescent="0.2">
      <c r="A226"/>
      <c r="B226"/>
      <c r="C226"/>
      <c r="H226"/>
      <c r="I226"/>
      <c r="J226" s="243"/>
      <c r="K226"/>
      <c r="L226"/>
      <c r="M226"/>
      <c r="N226"/>
      <c r="O226"/>
      <c r="P226"/>
    </row>
    <row r="227" spans="1:16" x14ac:dyDescent="0.2">
      <c r="A227"/>
      <c r="B227"/>
      <c r="C227"/>
      <c r="H227"/>
      <c r="I227"/>
      <c r="J227" s="243"/>
      <c r="K227"/>
      <c r="L227"/>
      <c r="M227"/>
      <c r="N227"/>
      <c r="O227"/>
      <c r="P227"/>
    </row>
    <row r="228" spans="1:16" x14ac:dyDescent="0.2">
      <c r="A228"/>
      <c r="B228"/>
      <c r="C228"/>
      <c r="H228"/>
      <c r="I228"/>
      <c r="J228" s="243"/>
      <c r="K228"/>
      <c r="L228"/>
      <c r="M228"/>
      <c r="N228"/>
      <c r="O228"/>
      <c r="P228"/>
    </row>
    <row r="229" spans="1:16" ht="12" customHeight="1" x14ac:dyDescent="0.2">
      <c r="A229"/>
      <c r="B229"/>
      <c r="C229"/>
      <c r="H229"/>
      <c r="I229"/>
      <c r="J229" s="243"/>
      <c r="K229"/>
      <c r="L229"/>
      <c r="M229"/>
      <c r="N229"/>
      <c r="O229"/>
      <c r="P229"/>
    </row>
    <row r="230" spans="1:16" ht="12" customHeight="1" x14ac:dyDescent="0.2">
      <c r="A230"/>
      <c r="B230"/>
      <c r="C230"/>
      <c r="H230"/>
      <c r="I230"/>
      <c r="J230" s="243"/>
      <c r="K230"/>
      <c r="L230"/>
      <c r="M230"/>
      <c r="N230"/>
      <c r="O230"/>
      <c r="P230"/>
    </row>
    <row r="231" spans="1:16" ht="12" customHeight="1" x14ac:dyDescent="0.2">
      <c r="A231"/>
      <c r="B231"/>
      <c r="C231"/>
      <c r="H231"/>
      <c r="I231"/>
      <c r="J231" s="243"/>
      <c r="K231"/>
      <c r="L231"/>
      <c r="M231"/>
      <c r="N231"/>
      <c r="O231"/>
      <c r="P231"/>
    </row>
    <row r="232" spans="1:16" ht="12" customHeight="1" x14ac:dyDescent="0.2">
      <c r="A232"/>
      <c r="B232"/>
      <c r="C232"/>
      <c r="H232"/>
      <c r="I232"/>
      <c r="J232" s="243"/>
      <c r="K232"/>
      <c r="L232"/>
      <c r="M232"/>
      <c r="N232"/>
      <c r="O232"/>
      <c r="P232"/>
    </row>
    <row r="233" spans="1:16" ht="12" customHeight="1" x14ac:dyDescent="0.2">
      <c r="A233"/>
      <c r="B233"/>
      <c r="C233"/>
      <c r="H233"/>
      <c r="I233"/>
      <c r="J233" s="243"/>
      <c r="K233"/>
      <c r="L233"/>
      <c r="M233"/>
      <c r="N233"/>
      <c r="O233"/>
      <c r="P233"/>
    </row>
    <row r="234" spans="1:16" x14ac:dyDescent="0.2">
      <c r="A234"/>
      <c r="B234"/>
      <c r="C234"/>
      <c r="H234"/>
      <c r="I234"/>
      <c r="J234" s="243"/>
      <c r="K234"/>
      <c r="L234"/>
      <c r="M234"/>
      <c r="N234"/>
      <c r="O234"/>
      <c r="P234"/>
    </row>
    <row r="235" spans="1:16" x14ac:dyDescent="0.2">
      <c r="A235"/>
      <c r="B235"/>
      <c r="C235"/>
      <c r="H235"/>
      <c r="I235"/>
      <c r="J235" s="243"/>
      <c r="K235"/>
      <c r="L235"/>
      <c r="M235"/>
      <c r="N235"/>
      <c r="O235"/>
      <c r="P235"/>
    </row>
    <row r="236" spans="1:16" ht="12" customHeight="1" x14ac:dyDescent="0.2">
      <c r="A236"/>
      <c r="B236"/>
      <c r="C236"/>
      <c r="H236"/>
      <c r="I236"/>
      <c r="J236" s="243"/>
      <c r="K236"/>
      <c r="L236"/>
      <c r="M236"/>
      <c r="N236"/>
      <c r="O236"/>
      <c r="P236"/>
    </row>
    <row r="237" spans="1:16" ht="12" customHeight="1" x14ac:dyDescent="0.2">
      <c r="A237"/>
      <c r="B237"/>
      <c r="C237"/>
      <c r="H237"/>
      <c r="I237"/>
      <c r="J237" s="243"/>
      <c r="K237"/>
      <c r="L237"/>
      <c r="M237"/>
      <c r="N237"/>
      <c r="O237"/>
      <c r="P237"/>
    </row>
    <row r="238" spans="1:16" ht="12" customHeight="1" x14ac:dyDescent="0.2">
      <c r="A238"/>
      <c r="B238"/>
      <c r="C238"/>
      <c r="H238"/>
      <c r="I238"/>
      <c r="J238" s="243"/>
      <c r="K238"/>
      <c r="L238"/>
      <c r="M238"/>
      <c r="N238"/>
      <c r="O238"/>
      <c r="P238"/>
    </row>
    <row r="239" spans="1:16" ht="12" customHeight="1" x14ac:dyDescent="0.2">
      <c r="A239"/>
      <c r="B239"/>
      <c r="C239"/>
      <c r="H239"/>
      <c r="I239"/>
      <c r="J239" s="243"/>
      <c r="K239"/>
      <c r="L239"/>
      <c r="M239"/>
      <c r="N239"/>
      <c r="O239"/>
      <c r="P239"/>
    </row>
    <row r="240" spans="1:16" ht="12" customHeight="1" x14ac:dyDescent="0.2">
      <c r="A240"/>
      <c r="B240"/>
      <c r="C240"/>
      <c r="H240"/>
      <c r="I240"/>
      <c r="J240" s="243"/>
      <c r="K240"/>
      <c r="L240"/>
      <c r="M240"/>
      <c r="N240"/>
      <c r="O240"/>
      <c r="P240"/>
    </row>
    <row r="241" spans="1:16" ht="12" customHeight="1" x14ac:dyDescent="0.2">
      <c r="A241"/>
      <c r="B241"/>
      <c r="C241"/>
      <c r="H241"/>
      <c r="I241"/>
      <c r="J241" s="243"/>
      <c r="K241"/>
      <c r="L241"/>
      <c r="M241"/>
      <c r="N241"/>
      <c r="O241"/>
      <c r="P241"/>
    </row>
    <row r="242" spans="1:16" x14ac:dyDescent="0.2">
      <c r="A242"/>
      <c r="B242"/>
      <c r="C242"/>
      <c r="H242"/>
      <c r="I242"/>
      <c r="J242" s="243"/>
      <c r="K242"/>
      <c r="L242"/>
      <c r="M242"/>
      <c r="N242"/>
      <c r="O242"/>
      <c r="P242"/>
    </row>
    <row r="243" spans="1:16" x14ac:dyDescent="0.2">
      <c r="A243"/>
      <c r="B243"/>
      <c r="C243"/>
      <c r="H243"/>
      <c r="I243"/>
      <c r="J243" s="243"/>
      <c r="K243"/>
      <c r="L243"/>
      <c r="M243"/>
      <c r="N243"/>
      <c r="O243"/>
      <c r="P243"/>
    </row>
    <row r="244" spans="1:16" ht="12" customHeight="1" x14ac:dyDescent="0.2">
      <c r="A244"/>
      <c r="B244"/>
      <c r="C244"/>
      <c r="H244"/>
      <c r="I244"/>
      <c r="J244" s="243"/>
      <c r="K244"/>
      <c r="L244"/>
      <c r="M244"/>
      <c r="N244"/>
      <c r="O244"/>
      <c r="P244"/>
    </row>
    <row r="245" spans="1:16" ht="12" customHeight="1" x14ac:dyDescent="0.2">
      <c r="A245"/>
      <c r="B245"/>
      <c r="C245"/>
      <c r="H245"/>
      <c r="I245"/>
      <c r="J245" s="243"/>
      <c r="K245"/>
      <c r="L245"/>
      <c r="M245"/>
      <c r="N245"/>
      <c r="O245"/>
      <c r="P245"/>
    </row>
    <row r="246" spans="1:16" ht="12" customHeight="1" x14ac:dyDescent="0.2">
      <c r="A246"/>
      <c r="B246"/>
      <c r="C246"/>
      <c r="H246"/>
      <c r="I246"/>
      <c r="J246" s="243"/>
      <c r="K246"/>
      <c r="L246"/>
      <c r="M246"/>
      <c r="N246"/>
      <c r="O246"/>
      <c r="P246"/>
    </row>
    <row r="247" spans="1:16" ht="12" customHeight="1" x14ac:dyDescent="0.2">
      <c r="A247"/>
      <c r="B247"/>
      <c r="C247"/>
      <c r="H247"/>
      <c r="I247"/>
      <c r="J247" s="243"/>
      <c r="K247"/>
      <c r="L247"/>
      <c r="M247"/>
      <c r="N247"/>
      <c r="O247"/>
      <c r="P247"/>
    </row>
    <row r="248" spans="1:16" ht="12" customHeight="1" x14ac:dyDescent="0.2">
      <c r="A248"/>
      <c r="B248"/>
      <c r="C248"/>
      <c r="H248"/>
      <c r="I248"/>
      <c r="J248" s="243"/>
      <c r="K248"/>
      <c r="L248"/>
      <c r="M248"/>
      <c r="N248"/>
      <c r="O248"/>
      <c r="P248"/>
    </row>
    <row r="249" spans="1:16" ht="12" customHeight="1" x14ac:dyDescent="0.2">
      <c r="A249"/>
      <c r="B249"/>
      <c r="C249"/>
      <c r="H249"/>
      <c r="I249"/>
      <c r="J249" s="243"/>
      <c r="K249"/>
      <c r="L249"/>
      <c r="M249"/>
      <c r="N249"/>
      <c r="O249"/>
      <c r="P249"/>
    </row>
    <row r="250" spans="1:16" x14ac:dyDescent="0.2">
      <c r="A250"/>
      <c r="B250"/>
      <c r="C250"/>
      <c r="H250"/>
      <c r="I250"/>
      <c r="J250" s="243"/>
      <c r="K250"/>
      <c r="L250"/>
      <c r="M250"/>
      <c r="N250"/>
      <c r="O250"/>
      <c r="P250"/>
    </row>
    <row r="251" spans="1:16" x14ac:dyDescent="0.2">
      <c r="A251"/>
      <c r="B251"/>
      <c r="C251"/>
      <c r="H251"/>
      <c r="I251"/>
      <c r="J251" s="243"/>
      <c r="K251"/>
      <c r="L251"/>
      <c r="M251"/>
      <c r="N251"/>
      <c r="O251"/>
      <c r="P251"/>
    </row>
    <row r="252" spans="1:16" x14ac:dyDescent="0.2">
      <c r="A252"/>
      <c r="B252"/>
      <c r="C252"/>
      <c r="H252"/>
      <c r="I252"/>
      <c r="J252" s="243"/>
      <c r="K252"/>
      <c r="L252"/>
      <c r="M252"/>
      <c r="N252"/>
      <c r="O252"/>
      <c r="P252"/>
    </row>
    <row r="253" spans="1:16" ht="12" customHeight="1" x14ac:dyDescent="0.2">
      <c r="A253"/>
      <c r="B253"/>
      <c r="C253"/>
      <c r="H253"/>
      <c r="I253"/>
      <c r="J253" s="243"/>
      <c r="K253"/>
      <c r="L253"/>
      <c r="M253"/>
      <c r="N253"/>
      <c r="O253"/>
      <c r="P253"/>
    </row>
    <row r="254" spans="1:16" ht="12" customHeight="1" x14ac:dyDescent="0.2">
      <c r="A254"/>
      <c r="B254"/>
      <c r="C254"/>
      <c r="H254"/>
      <c r="I254"/>
      <c r="J254" s="243"/>
      <c r="K254"/>
      <c r="L254"/>
      <c r="M254"/>
      <c r="N254"/>
      <c r="O254"/>
      <c r="P254"/>
    </row>
    <row r="255" spans="1:16" ht="12" customHeight="1" x14ac:dyDescent="0.2">
      <c r="A255"/>
      <c r="B255"/>
      <c r="C255"/>
      <c r="H255"/>
      <c r="I255"/>
      <c r="J255" s="243"/>
      <c r="K255"/>
      <c r="L255"/>
      <c r="M255"/>
      <c r="N255"/>
      <c r="O255"/>
      <c r="P255"/>
    </row>
    <row r="256" spans="1:16" ht="12" customHeight="1" x14ac:dyDescent="0.2">
      <c r="A256"/>
      <c r="B256"/>
      <c r="C256"/>
      <c r="H256"/>
      <c r="I256"/>
      <c r="J256" s="243"/>
      <c r="K256"/>
      <c r="L256"/>
      <c r="M256"/>
      <c r="N256"/>
      <c r="O256"/>
      <c r="P256"/>
    </row>
    <row r="257" spans="1:16" ht="12" customHeight="1" x14ac:dyDescent="0.2">
      <c r="A257"/>
      <c r="B257"/>
      <c r="C257"/>
      <c r="H257"/>
      <c r="I257"/>
      <c r="J257" s="243"/>
      <c r="K257"/>
      <c r="L257"/>
      <c r="M257"/>
      <c r="N257"/>
      <c r="O257"/>
      <c r="P257"/>
    </row>
    <row r="258" spans="1:16" ht="12" customHeight="1" x14ac:dyDescent="0.2">
      <c r="A258"/>
      <c r="B258"/>
      <c r="C258"/>
      <c r="H258"/>
      <c r="I258"/>
      <c r="J258" s="243"/>
      <c r="K258"/>
      <c r="L258"/>
      <c r="M258"/>
      <c r="N258"/>
      <c r="O258"/>
      <c r="P258"/>
    </row>
    <row r="259" spans="1:16" ht="12" customHeight="1" x14ac:dyDescent="0.2">
      <c r="A259"/>
      <c r="B259"/>
      <c r="C259"/>
      <c r="H259"/>
      <c r="I259"/>
      <c r="J259" s="243"/>
      <c r="K259"/>
      <c r="L259"/>
      <c r="M259"/>
      <c r="N259"/>
      <c r="O259"/>
      <c r="P259"/>
    </row>
    <row r="260" spans="1:16" ht="12" customHeight="1" x14ac:dyDescent="0.2">
      <c r="A260"/>
      <c r="B260"/>
      <c r="C260"/>
      <c r="H260"/>
      <c r="I260"/>
      <c r="J260" s="243"/>
      <c r="K260"/>
      <c r="L260"/>
      <c r="M260"/>
      <c r="N260"/>
      <c r="O260"/>
      <c r="P260"/>
    </row>
    <row r="261" spans="1:16" x14ac:dyDescent="0.2">
      <c r="A261"/>
      <c r="B261"/>
      <c r="C261"/>
      <c r="H261"/>
      <c r="I261"/>
      <c r="J261" s="243"/>
      <c r="K261"/>
      <c r="L261"/>
      <c r="M261"/>
      <c r="N261"/>
      <c r="O261"/>
      <c r="P261"/>
    </row>
    <row r="262" spans="1:16" ht="12" customHeight="1" x14ac:dyDescent="0.2">
      <c r="A262"/>
      <c r="B262"/>
      <c r="C262"/>
      <c r="H262"/>
      <c r="I262"/>
      <c r="J262" s="243"/>
      <c r="K262"/>
      <c r="L262"/>
      <c r="M262"/>
      <c r="N262"/>
      <c r="O262"/>
      <c r="P262"/>
    </row>
    <row r="263" spans="1:16" ht="12" customHeight="1" x14ac:dyDescent="0.2">
      <c r="A263"/>
      <c r="B263"/>
      <c r="C263"/>
      <c r="H263"/>
      <c r="I263"/>
      <c r="J263" s="243"/>
      <c r="K263"/>
      <c r="L263"/>
      <c r="M263"/>
      <c r="N263"/>
      <c r="O263"/>
      <c r="P263"/>
    </row>
    <row r="264" spans="1:16" ht="12" customHeight="1" x14ac:dyDescent="0.2">
      <c r="A264"/>
      <c r="B264"/>
      <c r="C264"/>
      <c r="H264"/>
      <c r="I264"/>
      <c r="J264" s="243"/>
      <c r="K264"/>
      <c r="L264"/>
      <c r="M264"/>
      <c r="N264"/>
      <c r="O264"/>
      <c r="P264"/>
    </row>
    <row r="265" spans="1:16" ht="12" customHeight="1" x14ac:dyDescent="0.2">
      <c r="A265"/>
      <c r="B265"/>
      <c r="C265"/>
      <c r="H265"/>
      <c r="I265"/>
      <c r="J265" s="243"/>
      <c r="K265"/>
      <c r="L265"/>
      <c r="M265"/>
      <c r="N265"/>
      <c r="O265"/>
      <c r="P265"/>
    </row>
    <row r="266" spans="1:16" ht="12" customHeight="1" x14ac:dyDescent="0.2">
      <c r="A266"/>
      <c r="B266"/>
      <c r="C266"/>
      <c r="H266"/>
      <c r="I266"/>
      <c r="J266" s="243"/>
      <c r="K266"/>
      <c r="L266"/>
      <c r="M266"/>
      <c r="N266"/>
      <c r="O266"/>
      <c r="P266"/>
    </row>
    <row r="267" spans="1:16" ht="12" customHeight="1" x14ac:dyDescent="0.2">
      <c r="A267"/>
      <c r="B267"/>
      <c r="C267"/>
      <c r="H267"/>
      <c r="I267"/>
      <c r="J267" s="243"/>
      <c r="K267"/>
      <c r="L267"/>
      <c r="M267"/>
      <c r="N267"/>
      <c r="O267"/>
      <c r="P267"/>
    </row>
    <row r="268" spans="1:16" ht="12" customHeight="1" x14ac:dyDescent="0.2">
      <c r="A268"/>
      <c r="B268"/>
      <c r="C268"/>
      <c r="H268"/>
      <c r="I268"/>
      <c r="J268" s="243"/>
      <c r="K268"/>
      <c r="L268"/>
      <c r="M268"/>
      <c r="N268"/>
      <c r="O268"/>
      <c r="P268"/>
    </row>
    <row r="269" spans="1:16" x14ac:dyDescent="0.2">
      <c r="A269"/>
      <c r="B269"/>
      <c r="C269"/>
      <c r="H269"/>
      <c r="I269"/>
      <c r="J269" s="243"/>
      <c r="K269"/>
      <c r="L269"/>
      <c r="M269"/>
      <c r="N269"/>
      <c r="O269"/>
      <c r="P269"/>
    </row>
    <row r="270" spans="1:16" x14ac:dyDescent="0.2">
      <c r="A270"/>
      <c r="B270"/>
      <c r="C270"/>
      <c r="H270"/>
      <c r="I270"/>
      <c r="J270" s="243"/>
      <c r="K270"/>
      <c r="L270"/>
      <c r="M270"/>
      <c r="N270"/>
      <c r="O270"/>
      <c r="P270"/>
    </row>
    <row r="271" spans="1:16" x14ac:dyDescent="0.2">
      <c r="A271"/>
      <c r="B271"/>
      <c r="C271"/>
      <c r="H271"/>
      <c r="I271"/>
      <c r="J271" s="243"/>
      <c r="K271"/>
      <c r="L271"/>
      <c r="M271"/>
      <c r="N271"/>
      <c r="O271"/>
      <c r="P271"/>
    </row>
    <row r="272" spans="1:16" x14ac:dyDescent="0.2">
      <c r="A272"/>
      <c r="B272"/>
      <c r="C272"/>
      <c r="H272"/>
      <c r="I272"/>
      <c r="J272" s="243"/>
      <c r="K272"/>
      <c r="L272"/>
      <c r="M272"/>
      <c r="N272"/>
      <c r="O272"/>
      <c r="P272"/>
    </row>
    <row r="273" spans="1:16" x14ac:dyDescent="0.2">
      <c r="A273"/>
      <c r="B273"/>
      <c r="C273"/>
      <c r="H273"/>
      <c r="I273"/>
      <c r="J273" s="243"/>
      <c r="K273"/>
      <c r="L273"/>
      <c r="M273"/>
      <c r="N273"/>
      <c r="O273"/>
      <c r="P273"/>
    </row>
    <row r="274" spans="1:16" ht="12" customHeight="1" x14ac:dyDescent="0.2">
      <c r="A274"/>
      <c r="B274"/>
      <c r="C274"/>
      <c r="H274"/>
      <c r="I274"/>
      <c r="J274" s="243"/>
      <c r="K274"/>
      <c r="L274"/>
      <c r="M274"/>
      <c r="N274"/>
      <c r="O274"/>
      <c r="P274"/>
    </row>
    <row r="275" spans="1:16" ht="12" customHeight="1" x14ac:dyDescent="0.2">
      <c r="A275"/>
      <c r="B275"/>
      <c r="C275"/>
      <c r="H275"/>
      <c r="I275"/>
      <c r="J275" s="243"/>
      <c r="K275"/>
      <c r="L275"/>
      <c r="M275"/>
      <c r="N275"/>
      <c r="O275"/>
      <c r="P275"/>
    </row>
    <row r="276" spans="1:16" ht="12" customHeight="1" x14ac:dyDescent="0.2">
      <c r="A276"/>
      <c r="B276"/>
      <c r="C276"/>
      <c r="H276"/>
      <c r="I276"/>
      <c r="J276" s="243"/>
      <c r="K276"/>
      <c r="L276"/>
      <c r="M276"/>
      <c r="N276"/>
      <c r="O276"/>
      <c r="P276"/>
    </row>
    <row r="277" spans="1:16" ht="12" customHeight="1" x14ac:dyDescent="0.2">
      <c r="A277"/>
      <c r="B277"/>
      <c r="C277"/>
      <c r="H277"/>
      <c r="I277"/>
      <c r="J277" s="243"/>
      <c r="K277"/>
      <c r="L277"/>
      <c r="M277"/>
      <c r="N277"/>
      <c r="O277"/>
      <c r="P277"/>
    </row>
    <row r="278" spans="1:16" ht="12" customHeight="1" x14ac:dyDescent="0.2">
      <c r="A278"/>
      <c r="B278"/>
      <c r="C278"/>
      <c r="H278"/>
      <c r="I278"/>
      <c r="J278" s="243"/>
      <c r="K278"/>
      <c r="L278"/>
      <c r="M278"/>
      <c r="N278"/>
      <c r="O278"/>
      <c r="P278"/>
    </row>
    <row r="279" spans="1:16" ht="12" customHeight="1" x14ac:dyDescent="0.2">
      <c r="A279"/>
      <c r="B279"/>
      <c r="C279"/>
      <c r="H279"/>
      <c r="I279"/>
      <c r="J279" s="243"/>
      <c r="K279"/>
      <c r="L279"/>
      <c r="M279"/>
      <c r="N279"/>
      <c r="O279"/>
      <c r="P279"/>
    </row>
    <row r="280" spans="1:16" ht="15" customHeight="1" x14ac:dyDescent="0.2">
      <c r="A280"/>
      <c r="B280"/>
      <c r="C280"/>
      <c r="H280"/>
      <c r="I280"/>
      <c r="J280" s="243"/>
      <c r="K280"/>
      <c r="L280"/>
      <c r="M280"/>
      <c r="N280"/>
      <c r="O280"/>
      <c r="P280"/>
    </row>
    <row r="281" spans="1:16" x14ac:dyDescent="0.2">
      <c r="A281"/>
      <c r="B281"/>
      <c r="C281"/>
      <c r="H281"/>
      <c r="I281"/>
      <c r="J281" s="243"/>
      <c r="K281"/>
      <c r="L281"/>
      <c r="M281"/>
      <c r="N281"/>
      <c r="O281"/>
      <c r="P281"/>
    </row>
    <row r="282" spans="1:16" x14ac:dyDescent="0.2">
      <c r="A282"/>
      <c r="B282"/>
      <c r="C282"/>
      <c r="H282"/>
      <c r="I282"/>
      <c r="J282" s="243"/>
      <c r="K282"/>
      <c r="L282"/>
      <c r="M282"/>
      <c r="N282"/>
      <c r="O282"/>
      <c r="P282"/>
    </row>
    <row r="283" spans="1:16" x14ac:dyDescent="0.2">
      <c r="A283"/>
      <c r="B283"/>
      <c r="C283"/>
      <c r="H283"/>
      <c r="I283"/>
      <c r="J283" s="243"/>
      <c r="K283"/>
      <c r="L283"/>
      <c r="M283"/>
      <c r="N283"/>
      <c r="O283"/>
      <c r="P283"/>
    </row>
    <row r="284" spans="1:16" ht="12" customHeight="1" x14ac:dyDescent="0.2">
      <c r="A284"/>
      <c r="B284"/>
      <c r="C284"/>
      <c r="H284"/>
      <c r="I284"/>
      <c r="J284" s="243"/>
      <c r="K284"/>
      <c r="L284"/>
      <c r="M284"/>
      <c r="N284"/>
      <c r="O284"/>
      <c r="P284"/>
    </row>
    <row r="285" spans="1:16" ht="12" customHeight="1" x14ac:dyDescent="0.2">
      <c r="A285"/>
      <c r="B285"/>
      <c r="C285"/>
      <c r="H285"/>
      <c r="I285"/>
      <c r="J285" s="243"/>
      <c r="K285"/>
      <c r="L285"/>
      <c r="M285"/>
      <c r="N285"/>
      <c r="O285"/>
      <c r="P285"/>
    </row>
    <row r="286" spans="1:16" ht="12" customHeight="1" x14ac:dyDescent="0.2">
      <c r="A286"/>
      <c r="B286"/>
      <c r="C286"/>
      <c r="H286"/>
      <c r="I286"/>
      <c r="J286" s="243"/>
      <c r="K286"/>
      <c r="L286"/>
      <c r="M286"/>
      <c r="N286"/>
      <c r="O286"/>
      <c r="P286"/>
    </row>
    <row r="287" spans="1:16" ht="12" customHeight="1" x14ac:dyDescent="0.2">
      <c r="A287"/>
      <c r="B287"/>
      <c r="C287"/>
      <c r="H287"/>
      <c r="I287"/>
      <c r="J287" s="243"/>
      <c r="K287"/>
      <c r="L287"/>
      <c r="M287"/>
      <c r="N287"/>
      <c r="O287"/>
      <c r="P287"/>
    </row>
    <row r="288" spans="1:16" ht="12" customHeight="1" x14ac:dyDescent="0.2">
      <c r="A288"/>
      <c r="B288"/>
      <c r="C288"/>
      <c r="H288"/>
      <c r="I288"/>
      <c r="J288" s="243"/>
      <c r="K288"/>
      <c r="L288"/>
      <c r="M288"/>
      <c r="N288"/>
      <c r="O288"/>
      <c r="P288"/>
    </row>
    <row r="289" spans="1:16" ht="12" customHeight="1" x14ac:dyDescent="0.2">
      <c r="A289"/>
      <c r="B289"/>
      <c r="C289"/>
      <c r="H289"/>
      <c r="I289"/>
      <c r="J289" s="243"/>
      <c r="K289"/>
      <c r="L289"/>
      <c r="M289"/>
      <c r="N289"/>
      <c r="O289"/>
      <c r="P289"/>
    </row>
    <row r="290" spans="1:16" ht="12" customHeight="1" x14ac:dyDescent="0.2">
      <c r="A290"/>
      <c r="B290"/>
      <c r="C290"/>
      <c r="H290"/>
      <c r="I290"/>
      <c r="J290" s="243"/>
      <c r="K290"/>
      <c r="L290"/>
      <c r="M290"/>
      <c r="N290"/>
      <c r="O290"/>
      <c r="P290"/>
    </row>
    <row r="291" spans="1:16" x14ac:dyDescent="0.2">
      <c r="A291"/>
      <c r="B291"/>
      <c r="C291"/>
      <c r="H291"/>
      <c r="I291"/>
      <c r="J291" s="243"/>
      <c r="K291"/>
      <c r="L291"/>
      <c r="M291"/>
      <c r="N291"/>
      <c r="O291"/>
      <c r="P291"/>
    </row>
    <row r="292" spans="1:16" x14ac:dyDescent="0.2">
      <c r="A292"/>
      <c r="B292"/>
      <c r="C292"/>
      <c r="H292"/>
      <c r="I292"/>
      <c r="J292" s="243"/>
      <c r="K292"/>
      <c r="L292"/>
      <c r="M292"/>
      <c r="N292"/>
      <c r="O292"/>
      <c r="P292"/>
    </row>
    <row r="293" spans="1:16" ht="12" customHeight="1" x14ac:dyDescent="0.2">
      <c r="A293"/>
      <c r="B293"/>
      <c r="C293"/>
      <c r="H293"/>
      <c r="I293"/>
      <c r="J293" s="243"/>
      <c r="K293"/>
      <c r="L293"/>
      <c r="M293"/>
      <c r="N293"/>
      <c r="O293"/>
      <c r="P293"/>
    </row>
    <row r="294" spans="1:16" ht="12" customHeight="1" x14ac:dyDescent="0.2">
      <c r="A294"/>
      <c r="B294"/>
      <c r="C294"/>
      <c r="H294"/>
      <c r="I294"/>
      <c r="J294" s="243"/>
      <c r="K294"/>
      <c r="L294"/>
      <c r="M294"/>
      <c r="N294"/>
      <c r="O294"/>
      <c r="P294"/>
    </row>
    <row r="295" spans="1:16" ht="12" customHeight="1" x14ac:dyDescent="0.2">
      <c r="A295"/>
      <c r="B295"/>
      <c r="C295"/>
      <c r="H295"/>
      <c r="I295"/>
      <c r="J295" s="243"/>
      <c r="K295"/>
      <c r="L295"/>
      <c r="M295"/>
      <c r="N295"/>
      <c r="O295"/>
      <c r="P295"/>
    </row>
    <row r="296" spans="1:16" ht="12" customHeight="1" x14ac:dyDescent="0.2">
      <c r="A296"/>
      <c r="B296"/>
      <c r="C296"/>
      <c r="H296"/>
      <c r="I296"/>
      <c r="J296" s="243"/>
      <c r="K296"/>
      <c r="L296"/>
      <c r="M296"/>
      <c r="N296"/>
      <c r="O296"/>
      <c r="P296"/>
    </row>
    <row r="297" spans="1:16" ht="12" customHeight="1" x14ac:dyDescent="0.2">
      <c r="A297"/>
      <c r="B297"/>
      <c r="C297"/>
      <c r="H297"/>
      <c r="I297"/>
      <c r="J297" s="243"/>
      <c r="K297"/>
      <c r="L297"/>
      <c r="M297"/>
      <c r="N297"/>
      <c r="O297"/>
      <c r="P297"/>
    </row>
    <row r="298" spans="1:16" ht="12" customHeight="1" x14ac:dyDescent="0.2">
      <c r="A298"/>
      <c r="B298"/>
      <c r="C298"/>
      <c r="H298"/>
      <c r="I298"/>
      <c r="J298" s="243"/>
      <c r="K298"/>
      <c r="L298"/>
      <c r="M298"/>
      <c r="N298"/>
      <c r="O298"/>
      <c r="P298"/>
    </row>
    <row r="299" spans="1:16" ht="12" customHeight="1" x14ac:dyDescent="0.2">
      <c r="A299"/>
      <c r="B299"/>
      <c r="C299"/>
      <c r="H299"/>
      <c r="I299"/>
      <c r="J299" s="243"/>
      <c r="K299"/>
      <c r="L299"/>
      <c r="M299"/>
      <c r="N299"/>
      <c r="O299"/>
      <c r="P299"/>
    </row>
    <row r="300" spans="1:16" ht="12" customHeight="1" x14ac:dyDescent="0.2">
      <c r="A300"/>
      <c r="B300"/>
      <c r="C300"/>
      <c r="H300"/>
      <c r="I300"/>
      <c r="J300" s="243"/>
      <c r="K300"/>
      <c r="L300"/>
      <c r="M300"/>
      <c r="N300"/>
      <c r="O300"/>
      <c r="P300"/>
    </row>
    <row r="301" spans="1:16" ht="12" customHeight="1" x14ac:dyDescent="0.2">
      <c r="A301"/>
      <c r="B301"/>
      <c r="C301"/>
      <c r="H301"/>
      <c r="I301"/>
      <c r="J301" s="243"/>
      <c r="K301"/>
      <c r="L301"/>
      <c r="M301"/>
      <c r="N301"/>
      <c r="O301"/>
      <c r="P301"/>
    </row>
    <row r="302" spans="1:16" x14ac:dyDescent="0.2">
      <c r="A302"/>
      <c r="B302"/>
      <c r="C302"/>
      <c r="H302"/>
      <c r="I302"/>
      <c r="J302" s="243"/>
      <c r="K302"/>
      <c r="L302"/>
      <c r="M302"/>
      <c r="N302"/>
      <c r="O302"/>
      <c r="P302"/>
    </row>
    <row r="303" spans="1:16" x14ac:dyDescent="0.2">
      <c r="A303"/>
      <c r="B303"/>
      <c r="C303"/>
      <c r="H303"/>
      <c r="I303"/>
      <c r="J303" s="243"/>
      <c r="K303"/>
      <c r="L303"/>
      <c r="M303"/>
      <c r="N303"/>
      <c r="O303"/>
      <c r="P303"/>
    </row>
    <row r="304" spans="1:16" x14ac:dyDescent="0.2">
      <c r="A304"/>
      <c r="B304"/>
      <c r="C304"/>
      <c r="H304"/>
      <c r="I304"/>
      <c r="J304" s="243"/>
      <c r="K304"/>
      <c r="L304"/>
      <c r="M304"/>
      <c r="N304"/>
      <c r="O304"/>
      <c r="P304"/>
    </row>
    <row r="305" spans="1:16" x14ac:dyDescent="0.2">
      <c r="A305"/>
      <c r="B305"/>
      <c r="C305"/>
      <c r="H305"/>
      <c r="I305"/>
      <c r="J305" s="243"/>
      <c r="K305"/>
      <c r="L305"/>
      <c r="M305"/>
      <c r="N305"/>
      <c r="O305"/>
      <c r="P305"/>
    </row>
    <row r="306" spans="1:16" x14ac:dyDescent="0.2">
      <c r="A306"/>
      <c r="B306"/>
      <c r="C306"/>
      <c r="H306"/>
      <c r="I306"/>
      <c r="J306" s="243"/>
      <c r="K306"/>
      <c r="L306"/>
      <c r="M306"/>
      <c r="N306"/>
      <c r="O306"/>
      <c r="P306"/>
    </row>
    <row r="307" spans="1:16" x14ac:dyDescent="0.2">
      <c r="A307"/>
      <c r="B307"/>
      <c r="C307"/>
      <c r="H307"/>
      <c r="I307"/>
      <c r="J307" s="243"/>
      <c r="K307"/>
      <c r="L307"/>
      <c r="M307"/>
      <c r="N307"/>
      <c r="O307"/>
      <c r="P307"/>
    </row>
    <row r="308" spans="1:16" x14ac:dyDescent="0.2">
      <c r="A308"/>
      <c r="B308"/>
      <c r="C308"/>
      <c r="H308"/>
      <c r="I308"/>
      <c r="J308" s="243"/>
      <c r="K308"/>
      <c r="L308"/>
      <c r="M308"/>
      <c r="N308"/>
      <c r="O308"/>
      <c r="P308"/>
    </row>
    <row r="309" spans="1:16" x14ac:dyDescent="0.2">
      <c r="A309"/>
      <c r="B309"/>
      <c r="C309"/>
      <c r="H309"/>
      <c r="I309"/>
      <c r="J309" s="243"/>
      <c r="K309"/>
      <c r="L309"/>
      <c r="M309"/>
      <c r="N309"/>
      <c r="O309"/>
      <c r="P309"/>
    </row>
    <row r="310" spans="1:16" x14ac:dyDescent="0.2">
      <c r="A310"/>
      <c r="B310"/>
      <c r="C310"/>
      <c r="H310"/>
      <c r="I310"/>
      <c r="J310" s="243"/>
      <c r="K310"/>
      <c r="L310"/>
      <c r="M310"/>
      <c r="N310"/>
      <c r="O310"/>
      <c r="P310"/>
    </row>
    <row r="311" spans="1:16" x14ac:dyDescent="0.2">
      <c r="A311"/>
      <c r="B311"/>
      <c r="C311"/>
      <c r="H311"/>
      <c r="I311"/>
      <c r="J311" s="243"/>
      <c r="K311"/>
      <c r="L311"/>
      <c r="M311"/>
      <c r="N311"/>
      <c r="O311"/>
      <c r="P311"/>
    </row>
    <row r="312" spans="1:16" x14ac:dyDescent="0.2">
      <c r="A312"/>
      <c r="B312"/>
      <c r="C312"/>
      <c r="H312"/>
      <c r="I312"/>
      <c r="J312" s="243"/>
      <c r="K312"/>
      <c r="L312"/>
      <c r="M312"/>
      <c r="N312"/>
      <c r="O312"/>
      <c r="P312"/>
    </row>
    <row r="313" spans="1:16" x14ac:dyDescent="0.2">
      <c r="A313"/>
      <c r="B313"/>
      <c r="C313"/>
      <c r="H313"/>
      <c r="I313"/>
      <c r="J313" s="243"/>
      <c r="K313"/>
      <c r="L313"/>
      <c r="M313"/>
      <c r="N313"/>
      <c r="O313"/>
      <c r="P313"/>
    </row>
    <row r="314" spans="1:16" x14ac:dyDescent="0.2">
      <c r="A314"/>
      <c r="B314"/>
      <c r="C314"/>
      <c r="H314"/>
      <c r="I314"/>
      <c r="J314" s="243"/>
      <c r="K314"/>
      <c r="L314"/>
      <c r="M314"/>
      <c r="N314"/>
      <c r="O314"/>
      <c r="P314"/>
    </row>
    <row r="315" spans="1:16" x14ac:dyDescent="0.2">
      <c r="A315"/>
      <c r="B315"/>
      <c r="C315"/>
      <c r="H315"/>
      <c r="I315"/>
      <c r="J315" s="243"/>
      <c r="K315"/>
      <c r="L315"/>
      <c r="M315"/>
      <c r="N315"/>
      <c r="O315"/>
      <c r="P315"/>
    </row>
    <row r="316" spans="1:16" ht="12" customHeight="1" x14ac:dyDescent="0.2">
      <c r="A316"/>
      <c r="B316"/>
      <c r="C316"/>
      <c r="H316"/>
      <c r="I316"/>
      <c r="J316" s="243"/>
      <c r="K316"/>
      <c r="L316"/>
      <c r="M316"/>
      <c r="N316"/>
      <c r="O316"/>
      <c r="P316"/>
    </row>
    <row r="317" spans="1:16" ht="12" customHeight="1" x14ac:dyDescent="0.2">
      <c r="A317"/>
      <c r="B317"/>
      <c r="C317"/>
      <c r="H317"/>
      <c r="I317"/>
      <c r="J317" s="243"/>
      <c r="K317"/>
      <c r="L317"/>
      <c r="M317"/>
      <c r="N317"/>
      <c r="O317"/>
      <c r="P317"/>
    </row>
    <row r="318" spans="1:16" ht="12" customHeight="1" x14ac:dyDescent="0.2">
      <c r="A318"/>
      <c r="B318"/>
      <c r="C318"/>
      <c r="H318"/>
      <c r="I318"/>
      <c r="J318" s="243"/>
      <c r="K318"/>
      <c r="L318"/>
      <c r="M318"/>
      <c r="N318"/>
      <c r="O318"/>
      <c r="P318"/>
    </row>
    <row r="319" spans="1:16" ht="12" customHeight="1" x14ac:dyDescent="0.2">
      <c r="A319"/>
      <c r="B319"/>
      <c r="C319"/>
      <c r="H319"/>
      <c r="I319"/>
      <c r="J319" s="243"/>
      <c r="K319"/>
      <c r="L319"/>
      <c r="M319"/>
      <c r="N319"/>
      <c r="O319"/>
      <c r="P319"/>
    </row>
    <row r="320" spans="1:16" ht="12" customHeight="1" x14ac:dyDescent="0.2">
      <c r="A320"/>
      <c r="B320"/>
      <c r="C320"/>
      <c r="H320"/>
      <c r="I320"/>
      <c r="J320" s="243"/>
      <c r="K320"/>
      <c r="L320"/>
      <c r="M320"/>
      <c r="N320"/>
      <c r="O320"/>
      <c r="P320"/>
    </row>
    <row r="321" spans="1:18" ht="12" customHeight="1" x14ac:dyDescent="0.2">
      <c r="A321"/>
      <c r="B321"/>
      <c r="C321"/>
      <c r="H321"/>
      <c r="I321"/>
      <c r="J321" s="243"/>
      <c r="K321"/>
      <c r="L321"/>
      <c r="M321"/>
      <c r="N321"/>
      <c r="O321"/>
      <c r="P321"/>
    </row>
    <row r="322" spans="1:18" ht="12" customHeight="1" x14ac:dyDescent="0.2">
      <c r="A322"/>
      <c r="B322"/>
      <c r="C322"/>
      <c r="H322"/>
      <c r="I322"/>
      <c r="J322" s="243"/>
      <c r="K322"/>
      <c r="L322"/>
      <c r="M322"/>
      <c r="N322"/>
      <c r="O322"/>
      <c r="P322"/>
    </row>
    <row r="323" spans="1:18" s="115" customFormat="1" ht="12" customHeight="1" x14ac:dyDescent="0.2">
      <c r="J323" s="243"/>
      <c r="R323" s="1007"/>
    </row>
    <row r="324" spans="1:18" x14ac:dyDescent="0.2">
      <c r="A324"/>
      <c r="B324"/>
      <c r="C324"/>
      <c r="H324"/>
      <c r="I324"/>
      <c r="J324" s="243"/>
      <c r="K324"/>
      <c r="L324"/>
      <c r="M324"/>
      <c r="N324"/>
      <c r="O324"/>
      <c r="P324"/>
    </row>
    <row r="325" spans="1:18" x14ac:dyDescent="0.2">
      <c r="A325"/>
      <c r="B325"/>
      <c r="C325"/>
      <c r="H325"/>
      <c r="I325"/>
      <c r="J325" s="243"/>
      <c r="K325"/>
      <c r="L325"/>
      <c r="M325"/>
      <c r="N325"/>
      <c r="O325"/>
      <c r="P325"/>
    </row>
    <row r="326" spans="1:18" x14ac:dyDescent="0.2">
      <c r="A326"/>
      <c r="B326"/>
      <c r="C326"/>
      <c r="H326"/>
      <c r="I326"/>
      <c r="J326" s="243"/>
      <c r="K326"/>
      <c r="L326"/>
      <c r="M326"/>
      <c r="N326"/>
      <c r="O326"/>
      <c r="P326"/>
    </row>
    <row r="327" spans="1:18" x14ac:dyDescent="0.2">
      <c r="A327"/>
      <c r="B327"/>
      <c r="C327"/>
      <c r="H327"/>
      <c r="I327"/>
      <c r="J327" s="243"/>
      <c r="K327"/>
      <c r="L327"/>
      <c r="M327"/>
      <c r="N327"/>
      <c r="O327"/>
      <c r="P327"/>
    </row>
    <row r="328" spans="1:18" x14ac:dyDescent="0.2">
      <c r="A328"/>
      <c r="B328"/>
      <c r="C328"/>
      <c r="H328"/>
      <c r="I328"/>
      <c r="J328" s="243"/>
      <c r="K328"/>
      <c r="L328"/>
      <c r="M328"/>
      <c r="N328"/>
      <c r="O328"/>
      <c r="P328"/>
    </row>
    <row r="329" spans="1:18" x14ac:dyDescent="0.2">
      <c r="A329"/>
      <c r="B329"/>
      <c r="C329"/>
      <c r="H329"/>
      <c r="I329"/>
      <c r="J329" s="243"/>
      <c r="K329"/>
      <c r="L329"/>
      <c r="M329"/>
      <c r="N329"/>
      <c r="O329"/>
      <c r="P329"/>
    </row>
    <row r="330" spans="1:18" x14ac:dyDescent="0.2">
      <c r="A330"/>
      <c r="B330"/>
      <c r="C330"/>
      <c r="H330"/>
      <c r="I330"/>
      <c r="J330" s="243"/>
      <c r="K330"/>
      <c r="L330"/>
      <c r="M330"/>
      <c r="N330"/>
      <c r="O330"/>
      <c r="P330"/>
    </row>
    <row r="331" spans="1:18" x14ac:dyDescent="0.2">
      <c r="A331"/>
      <c r="B331"/>
      <c r="C331"/>
      <c r="H331"/>
      <c r="I331"/>
      <c r="J331" s="243"/>
      <c r="K331"/>
      <c r="L331"/>
      <c r="M331"/>
      <c r="N331"/>
      <c r="O331"/>
      <c r="P331"/>
    </row>
    <row r="332" spans="1:18" x14ac:dyDescent="0.2">
      <c r="A332"/>
      <c r="B332"/>
      <c r="C332"/>
      <c r="H332"/>
      <c r="I332"/>
      <c r="J332" s="243"/>
      <c r="K332"/>
      <c r="L332"/>
      <c r="M332"/>
      <c r="N332"/>
      <c r="O332"/>
      <c r="P332"/>
    </row>
    <row r="333" spans="1:18" x14ac:dyDescent="0.2">
      <c r="A333"/>
      <c r="B333"/>
      <c r="C333"/>
      <c r="H333"/>
      <c r="I333"/>
      <c r="J333" s="243"/>
      <c r="K333"/>
      <c r="L333"/>
      <c r="M333"/>
      <c r="N333"/>
      <c r="O333"/>
      <c r="P333"/>
    </row>
    <row r="334" spans="1:18" x14ac:dyDescent="0.2">
      <c r="A334"/>
      <c r="B334"/>
      <c r="C334"/>
      <c r="H334"/>
      <c r="I334"/>
      <c r="J334" s="243"/>
      <c r="K334"/>
      <c r="L334"/>
      <c r="M334"/>
      <c r="N334"/>
      <c r="O334"/>
      <c r="P334"/>
    </row>
    <row r="335" spans="1:18" x14ac:dyDescent="0.2">
      <c r="A335"/>
      <c r="B335"/>
      <c r="C335"/>
      <c r="H335"/>
      <c r="I335"/>
      <c r="J335" s="243"/>
      <c r="K335"/>
      <c r="L335"/>
      <c r="M335"/>
      <c r="N335"/>
      <c r="O335"/>
      <c r="P335"/>
    </row>
    <row r="336" spans="1:18" x14ac:dyDescent="0.2">
      <c r="A336"/>
      <c r="B336"/>
      <c r="C336"/>
      <c r="H336"/>
      <c r="I336"/>
      <c r="J336" s="243"/>
      <c r="K336"/>
      <c r="L336"/>
      <c r="M336"/>
      <c r="N336"/>
      <c r="O336"/>
      <c r="P336"/>
    </row>
    <row r="337" spans="1:18" x14ac:dyDescent="0.2">
      <c r="A337"/>
      <c r="B337"/>
      <c r="C337"/>
      <c r="H337"/>
      <c r="I337"/>
      <c r="J337" s="243"/>
      <c r="K337"/>
      <c r="L337"/>
      <c r="M337"/>
      <c r="N337"/>
      <c r="O337"/>
      <c r="P337"/>
    </row>
    <row r="338" spans="1:18" ht="12" customHeight="1" x14ac:dyDescent="0.2">
      <c r="A338"/>
      <c r="B338"/>
      <c r="C338"/>
      <c r="H338"/>
      <c r="I338"/>
      <c r="J338" s="243"/>
      <c r="K338"/>
      <c r="L338"/>
      <c r="M338"/>
      <c r="N338"/>
      <c r="O338"/>
      <c r="P338"/>
    </row>
    <row r="339" spans="1:18" ht="12" customHeight="1" x14ac:dyDescent="0.2">
      <c r="A339"/>
      <c r="B339"/>
      <c r="C339"/>
      <c r="H339"/>
      <c r="I339"/>
      <c r="J339" s="243"/>
      <c r="K339"/>
      <c r="L339"/>
      <c r="M339"/>
      <c r="N339"/>
      <c r="O339"/>
      <c r="P339"/>
    </row>
    <row r="340" spans="1:18" ht="12" customHeight="1" x14ac:dyDescent="0.2">
      <c r="A340"/>
      <c r="B340"/>
      <c r="C340"/>
      <c r="H340"/>
      <c r="I340"/>
      <c r="J340" s="243"/>
      <c r="K340"/>
      <c r="L340"/>
      <c r="M340"/>
      <c r="N340"/>
      <c r="O340"/>
      <c r="P340"/>
    </row>
    <row r="341" spans="1:18" ht="12" customHeight="1" x14ac:dyDescent="0.2">
      <c r="A341"/>
      <c r="B341"/>
      <c r="C341"/>
      <c r="H341"/>
      <c r="I341"/>
      <c r="J341" s="243"/>
      <c r="K341"/>
      <c r="L341"/>
      <c r="M341"/>
      <c r="N341"/>
      <c r="O341"/>
      <c r="P341"/>
    </row>
    <row r="342" spans="1:18" ht="12" customHeight="1" x14ac:dyDescent="0.2">
      <c r="A342"/>
      <c r="B342"/>
      <c r="C342"/>
      <c r="H342"/>
      <c r="I342"/>
      <c r="J342" s="243"/>
      <c r="K342"/>
      <c r="L342"/>
      <c r="M342"/>
      <c r="N342"/>
      <c r="O342"/>
      <c r="P342"/>
    </row>
    <row r="343" spans="1:18" ht="12" customHeight="1" x14ac:dyDescent="0.2">
      <c r="A343"/>
      <c r="B343"/>
      <c r="C343"/>
      <c r="H343"/>
      <c r="I343"/>
      <c r="J343" s="243"/>
      <c r="K343"/>
      <c r="L343"/>
      <c r="M343"/>
      <c r="N343"/>
      <c r="O343"/>
      <c r="P343"/>
    </row>
    <row r="344" spans="1:18" ht="12" customHeight="1" x14ac:dyDescent="0.2">
      <c r="A344"/>
      <c r="B344"/>
      <c r="C344"/>
      <c r="H344"/>
      <c r="I344"/>
      <c r="J344" s="243"/>
      <c r="K344"/>
      <c r="L344"/>
      <c r="M344"/>
      <c r="N344"/>
      <c r="O344"/>
      <c r="P344"/>
    </row>
    <row r="345" spans="1:18" s="115" customFormat="1" ht="12" customHeight="1" x14ac:dyDescent="0.2">
      <c r="J345" s="243"/>
      <c r="R345" s="1007"/>
    </row>
    <row r="346" spans="1:18" ht="12" customHeight="1" x14ac:dyDescent="0.2">
      <c r="A346"/>
      <c r="B346"/>
      <c r="C346"/>
      <c r="H346"/>
      <c r="I346"/>
      <c r="J346" s="243"/>
      <c r="K346"/>
      <c r="L346"/>
      <c r="M346"/>
      <c r="N346"/>
      <c r="O346"/>
      <c r="P346"/>
    </row>
    <row r="347" spans="1:18" ht="12" customHeight="1" x14ac:dyDescent="0.2">
      <c r="A347"/>
      <c r="B347"/>
      <c r="C347"/>
      <c r="H347"/>
      <c r="I347"/>
      <c r="J347" s="243"/>
      <c r="K347"/>
      <c r="L347"/>
      <c r="M347"/>
      <c r="N347"/>
      <c r="O347"/>
      <c r="P347"/>
    </row>
    <row r="348" spans="1:18" ht="12" customHeight="1" x14ac:dyDescent="0.2">
      <c r="A348"/>
      <c r="B348"/>
      <c r="C348"/>
      <c r="H348"/>
      <c r="I348"/>
      <c r="J348" s="243"/>
      <c r="K348"/>
      <c r="L348"/>
      <c r="M348"/>
      <c r="N348"/>
      <c r="O348"/>
      <c r="P348"/>
    </row>
    <row r="349" spans="1:18" x14ac:dyDescent="0.2">
      <c r="A349"/>
      <c r="B349"/>
      <c r="C349"/>
      <c r="H349"/>
      <c r="I349"/>
      <c r="J349" s="243"/>
      <c r="K349"/>
      <c r="L349"/>
      <c r="M349"/>
      <c r="N349"/>
      <c r="O349"/>
      <c r="P349"/>
    </row>
    <row r="350" spans="1:18" x14ac:dyDescent="0.2">
      <c r="A350"/>
      <c r="B350"/>
      <c r="C350"/>
      <c r="H350"/>
      <c r="I350"/>
      <c r="J350" s="243"/>
      <c r="K350"/>
      <c r="L350"/>
      <c r="M350"/>
      <c r="N350"/>
      <c r="O350"/>
      <c r="P350"/>
    </row>
    <row r="351" spans="1:18" x14ac:dyDescent="0.2">
      <c r="A351"/>
      <c r="B351"/>
      <c r="C351"/>
      <c r="H351"/>
      <c r="I351"/>
      <c r="J351" s="243"/>
      <c r="K351"/>
      <c r="L351"/>
      <c r="M351"/>
      <c r="N351"/>
      <c r="O351"/>
      <c r="P351"/>
    </row>
    <row r="352" spans="1:18" x14ac:dyDescent="0.2">
      <c r="A352"/>
      <c r="B352"/>
      <c r="C352"/>
      <c r="H352"/>
      <c r="I352"/>
      <c r="J352" s="243"/>
      <c r="K352"/>
      <c r="L352"/>
      <c r="M352"/>
      <c r="N352"/>
      <c r="O352"/>
      <c r="P352"/>
    </row>
    <row r="353" spans="1:16" x14ac:dyDescent="0.2">
      <c r="A353"/>
      <c r="B353"/>
      <c r="C353"/>
      <c r="H353"/>
      <c r="I353"/>
      <c r="J353" s="243"/>
      <c r="K353"/>
      <c r="L353"/>
      <c r="M353"/>
      <c r="N353"/>
      <c r="O353"/>
      <c r="P353"/>
    </row>
    <row r="354" spans="1:16" x14ac:dyDescent="0.2">
      <c r="A354"/>
      <c r="B354"/>
      <c r="C354"/>
      <c r="H354"/>
      <c r="I354"/>
      <c r="J354" s="243"/>
      <c r="K354"/>
      <c r="L354"/>
      <c r="M354"/>
      <c r="N354"/>
      <c r="O354"/>
      <c r="P354"/>
    </row>
    <row r="355" spans="1:16" x14ac:dyDescent="0.2">
      <c r="A355"/>
      <c r="B355"/>
      <c r="C355"/>
      <c r="H355"/>
      <c r="I355"/>
      <c r="J355" s="243"/>
      <c r="K355"/>
      <c r="L355"/>
      <c r="M355"/>
      <c r="N355"/>
      <c r="O355"/>
      <c r="P355"/>
    </row>
    <row r="356" spans="1:16" x14ac:dyDescent="0.2">
      <c r="A356"/>
      <c r="B356"/>
      <c r="C356"/>
      <c r="H356"/>
      <c r="I356"/>
      <c r="J356" s="243"/>
      <c r="K356"/>
      <c r="L356"/>
      <c r="M356"/>
      <c r="N356"/>
      <c r="O356"/>
      <c r="P356"/>
    </row>
    <row r="357" spans="1:16" x14ac:dyDescent="0.2">
      <c r="A357"/>
      <c r="B357"/>
      <c r="C357"/>
      <c r="H357"/>
      <c r="I357"/>
      <c r="J357" s="243"/>
      <c r="K357"/>
      <c r="L357"/>
      <c r="M357"/>
      <c r="N357"/>
      <c r="O357"/>
      <c r="P357"/>
    </row>
    <row r="358" spans="1:16" x14ac:dyDescent="0.2">
      <c r="A358"/>
      <c r="B358"/>
      <c r="C358"/>
      <c r="H358"/>
      <c r="I358"/>
      <c r="J358" s="243"/>
      <c r="K358"/>
      <c r="L358"/>
      <c r="M358"/>
      <c r="N358"/>
      <c r="O358"/>
      <c r="P358"/>
    </row>
    <row r="359" spans="1:16" x14ac:dyDescent="0.2">
      <c r="A359"/>
      <c r="B359"/>
      <c r="C359"/>
      <c r="H359"/>
      <c r="I359"/>
      <c r="J359" s="243"/>
      <c r="K359"/>
      <c r="L359"/>
      <c r="M359"/>
      <c r="N359"/>
      <c r="O359"/>
      <c r="P359"/>
    </row>
    <row r="360" spans="1:16" x14ac:dyDescent="0.2">
      <c r="A360"/>
      <c r="B360"/>
      <c r="C360"/>
      <c r="H360"/>
      <c r="I360"/>
      <c r="J360" s="243"/>
      <c r="K360"/>
      <c r="L360"/>
      <c r="M360"/>
      <c r="N360"/>
      <c r="O360"/>
      <c r="P360"/>
    </row>
    <row r="361" spans="1:16" x14ac:dyDescent="0.2">
      <c r="A361"/>
      <c r="B361"/>
      <c r="C361"/>
      <c r="H361"/>
      <c r="I361"/>
      <c r="J361" s="243"/>
      <c r="K361"/>
      <c r="L361"/>
      <c r="M361"/>
      <c r="N361"/>
      <c r="O361"/>
      <c r="P361"/>
    </row>
    <row r="362" spans="1:16" ht="12" customHeight="1" x14ac:dyDescent="0.2">
      <c r="A362"/>
      <c r="B362"/>
      <c r="C362"/>
      <c r="H362"/>
      <c r="I362"/>
      <c r="J362" s="243"/>
      <c r="K362"/>
      <c r="L362"/>
      <c r="M362"/>
      <c r="N362"/>
      <c r="O362"/>
      <c r="P362"/>
    </row>
    <row r="363" spans="1:16" ht="12" customHeight="1" x14ac:dyDescent="0.2">
      <c r="A363"/>
      <c r="B363"/>
      <c r="C363"/>
      <c r="H363"/>
      <c r="I363"/>
      <c r="J363" s="243"/>
      <c r="K363"/>
      <c r="L363"/>
      <c r="M363"/>
      <c r="N363"/>
      <c r="O363"/>
      <c r="P363"/>
    </row>
    <row r="364" spans="1:16" ht="12" customHeight="1" x14ac:dyDescent="0.2">
      <c r="A364"/>
      <c r="B364"/>
      <c r="C364"/>
      <c r="H364"/>
      <c r="I364"/>
      <c r="J364" s="243"/>
      <c r="K364"/>
      <c r="L364"/>
      <c r="M364"/>
      <c r="N364"/>
      <c r="O364"/>
      <c r="P364"/>
    </row>
    <row r="365" spans="1:16" ht="12" customHeight="1" x14ac:dyDescent="0.2">
      <c r="A365"/>
      <c r="B365"/>
      <c r="C365"/>
      <c r="H365"/>
      <c r="I365"/>
      <c r="J365" s="243"/>
      <c r="K365"/>
      <c r="L365"/>
      <c r="M365"/>
      <c r="N365"/>
      <c r="O365"/>
      <c r="P365"/>
    </row>
    <row r="366" spans="1:16" ht="12" customHeight="1" x14ac:dyDescent="0.2">
      <c r="A366"/>
      <c r="B366"/>
      <c r="C366"/>
      <c r="H366"/>
      <c r="I366"/>
      <c r="J366" s="243"/>
      <c r="K366"/>
      <c r="L366"/>
      <c r="M366"/>
      <c r="N366"/>
      <c r="O366"/>
      <c r="P366"/>
    </row>
    <row r="367" spans="1:16" ht="12" customHeight="1" x14ac:dyDescent="0.2">
      <c r="A367"/>
      <c r="B367"/>
      <c r="C367"/>
      <c r="H367"/>
      <c r="I367"/>
      <c r="J367" s="243"/>
      <c r="K367"/>
      <c r="L367"/>
      <c r="M367"/>
      <c r="N367"/>
      <c r="O367"/>
      <c r="P367"/>
    </row>
    <row r="368" spans="1:16" ht="12" customHeight="1" x14ac:dyDescent="0.2">
      <c r="A368"/>
      <c r="B368"/>
      <c r="C368"/>
      <c r="H368"/>
      <c r="I368"/>
      <c r="J368" s="243"/>
      <c r="K368"/>
      <c r="L368"/>
      <c r="M368"/>
      <c r="N368"/>
      <c r="O368"/>
      <c r="P368"/>
    </row>
    <row r="369" spans="1:18" ht="12" customHeight="1" x14ac:dyDescent="0.2">
      <c r="A369"/>
      <c r="B369"/>
      <c r="C369"/>
      <c r="H369"/>
      <c r="I369"/>
      <c r="J369" s="243"/>
      <c r="K369"/>
      <c r="L369"/>
      <c r="M369"/>
      <c r="N369"/>
      <c r="O369"/>
      <c r="P369"/>
    </row>
    <row r="370" spans="1:18" ht="12" customHeight="1" x14ac:dyDescent="0.2">
      <c r="A370"/>
      <c r="B370"/>
      <c r="C370"/>
      <c r="H370"/>
      <c r="I370"/>
      <c r="J370" s="243"/>
      <c r="K370"/>
      <c r="L370"/>
      <c r="M370"/>
      <c r="N370"/>
      <c r="O370"/>
      <c r="P370"/>
    </row>
    <row r="371" spans="1:18" s="115" customFormat="1" ht="12" customHeight="1" x14ac:dyDescent="0.2">
      <c r="J371" s="243"/>
      <c r="R371" s="1007"/>
    </row>
    <row r="372" spans="1:18" s="115" customFormat="1" ht="12" customHeight="1" x14ac:dyDescent="0.2">
      <c r="J372" s="243"/>
      <c r="R372" s="1007"/>
    </row>
    <row r="373" spans="1:18" x14ac:dyDescent="0.2">
      <c r="A373"/>
      <c r="B373"/>
      <c r="C373"/>
      <c r="H373"/>
      <c r="I373"/>
      <c r="J373" s="243"/>
      <c r="K373"/>
      <c r="L373"/>
      <c r="M373"/>
      <c r="N373"/>
      <c r="O373"/>
      <c r="P373"/>
    </row>
    <row r="374" spans="1:18" x14ac:dyDescent="0.2">
      <c r="A374"/>
      <c r="B374"/>
      <c r="C374"/>
      <c r="H374"/>
      <c r="I374"/>
      <c r="J374" s="243"/>
      <c r="K374"/>
      <c r="L374"/>
      <c r="M374"/>
      <c r="N374"/>
      <c r="O374"/>
      <c r="P374"/>
    </row>
    <row r="375" spans="1:18" x14ac:dyDescent="0.2">
      <c r="A375"/>
      <c r="B375"/>
      <c r="C375"/>
      <c r="H375"/>
      <c r="I375"/>
      <c r="J375" s="243"/>
      <c r="K375"/>
      <c r="L375"/>
      <c r="M375"/>
      <c r="N375"/>
      <c r="O375"/>
      <c r="P375"/>
    </row>
    <row r="376" spans="1:18" x14ac:dyDescent="0.2">
      <c r="A376"/>
      <c r="B376"/>
      <c r="C376"/>
      <c r="H376"/>
      <c r="I376"/>
      <c r="J376" s="243"/>
      <c r="K376"/>
      <c r="L376"/>
      <c r="M376"/>
      <c r="N376"/>
      <c r="O376"/>
      <c r="P376"/>
    </row>
    <row r="377" spans="1:18" x14ac:dyDescent="0.2">
      <c r="A377"/>
      <c r="B377"/>
      <c r="C377"/>
      <c r="H377"/>
      <c r="I377"/>
      <c r="J377" s="243"/>
      <c r="K377"/>
      <c r="L377"/>
      <c r="M377"/>
      <c r="N377"/>
      <c r="O377"/>
      <c r="P377"/>
    </row>
    <row r="378" spans="1:18" x14ac:dyDescent="0.2">
      <c r="A378"/>
      <c r="B378"/>
      <c r="C378"/>
      <c r="H378"/>
      <c r="I378"/>
      <c r="J378" s="243"/>
      <c r="K378"/>
      <c r="L378"/>
      <c r="M378"/>
      <c r="N378"/>
      <c r="O378"/>
      <c r="P378"/>
    </row>
    <row r="379" spans="1:18" x14ac:dyDescent="0.2">
      <c r="A379"/>
      <c r="B379"/>
      <c r="C379"/>
      <c r="H379"/>
      <c r="I379"/>
      <c r="J379" s="243"/>
      <c r="K379"/>
      <c r="L379"/>
      <c r="M379"/>
      <c r="N379"/>
      <c r="O379"/>
      <c r="P379"/>
    </row>
    <row r="380" spans="1:18" x14ac:dyDescent="0.2">
      <c r="A380"/>
      <c r="B380"/>
      <c r="C380"/>
      <c r="H380"/>
      <c r="I380"/>
      <c r="J380" s="243"/>
      <c r="K380"/>
      <c r="L380"/>
      <c r="M380"/>
      <c r="N380"/>
      <c r="O380"/>
      <c r="P380"/>
    </row>
    <row r="381" spans="1:18" x14ac:dyDescent="0.2">
      <c r="A381"/>
      <c r="B381"/>
      <c r="C381"/>
      <c r="H381"/>
      <c r="I381"/>
      <c r="J381" s="243"/>
      <c r="K381"/>
      <c r="L381"/>
      <c r="M381"/>
      <c r="N381"/>
      <c r="O381"/>
      <c r="P381"/>
    </row>
    <row r="382" spans="1:18" x14ac:dyDescent="0.2">
      <c r="A382"/>
      <c r="B382"/>
      <c r="C382"/>
      <c r="H382"/>
      <c r="I382"/>
      <c r="J382" s="243"/>
      <c r="K382"/>
      <c r="L382"/>
      <c r="M382"/>
      <c r="N382"/>
      <c r="O382"/>
      <c r="P382"/>
    </row>
    <row r="383" spans="1:18" x14ac:dyDescent="0.2">
      <c r="A383"/>
      <c r="B383"/>
      <c r="C383"/>
      <c r="H383"/>
      <c r="I383"/>
      <c r="J383" s="243"/>
      <c r="K383"/>
      <c r="L383"/>
      <c r="M383"/>
      <c r="N383"/>
      <c r="O383"/>
      <c r="P383"/>
    </row>
    <row r="384" spans="1:18" x14ac:dyDescent="0.2">
      <c r="A384"/>
      <c r="B384"/>
      <c r="C384"/>
      <c r="H384"/>
      <c r="I384"/>
      <c r="J384" s="243"/>
      <c r="K384"/>
      <c r="L384"/>
      <c r="M384"/>
      <c r="N384"/>
      <c r="O384"/>
      <c r="P384"/>
    </row>
    <row r="385" spans="1:18" x14ac:dyDescent="0.2">
      <c r="A385"/>
      <c r="B385"/>
      <c r="C385"/>
      <c r="H385"/>
      <c r="I385"/>
      <c r="J385" s="243"/>
      <c r="K385"/>
      <c r="L385"/>
      <c r="M385"/>
      <c r="N385"/>
      <c r="O385"/>
      <c r="P385"/>
    </row>
    <row r="386" spans="1:18" x14ac:dyDescent="0.2">
      <c r="A386"/>
      <c r="B386"/>
      <c r="C386"/>
      <c r="H386"/>
      <c r="I386"/>
      <c r="J386" s="243"/>
      <c r="K386"/>
      <c r="L386"/>
      <c r="M386"/>
      <c r="N386"/>
      <c r="O386"/>
      <c r="P386"/>
    </row>
    <row r="387" spans="1:18" ht="12" customHeight="1" x14ac:dyDescent="0.2">
      <c r="A387"/>
      <c r="B387"/>
      <c r="C387"/>
      <c r="H387"/>
      <c r="I387"/>
      <c r="J387" s="243"/>
      <c r="K387"/>
      <c r="L387"/>
      <c r="M387"/>
      <c r="N387"/>
      <c r="O387"/>
      <c r="P387"/>
    </row>
    <row r="388" spans="1:18" ht="12" customHeight="1" x14ac:dyDescent="0.2">
      <c r="A388"/>
      <c r="B388"/>
      <c r="C388"/>
      <c r="H388"/>
      <c r="I388"/>
      <c r="J388" s="243"/>
      <c r="K388"/>
      <c r="L388"/>
      <c r="M388"/>
      <c r="N388"/>
      <c r="O388"/>
      <c r="P388"/>
    </row>
    <row r="389" spans="1:18" ht="12" customHeight="1" x14ac:dyDescent="0.2">
      <c r="A389"/>
      <c r="B389"/>
      <c r="C389"/>
      <c r="H389"/>
      <c r="I389"/>
      <c r="J389" s="243"/>
      <c r="K389"/>
      <c r="L389"/>
      <c r="M389"/>
      <c r="N389"/>
      <c r="O389"/>
      <c r="P389"/>
    </row>
    <row r="390" spans="1:18" ht="12" customHeight="1" x14ac:dyDescent="0.2">
      <c r="A390"/>
      <c r="B390"/>
      <c r="C390"/>
      <c r="H390"/>
      <c r="I390"/>
      <c r="J390" s="243"/>
      <c r="K390"/>
      <c r="L390"/>
      <c r="M390"/>
      <c r="N390"/>
      <c r="O390"/>
      <c r="P390"/>
    </row>
    <row r="391" spans="1:18" ht="12" customHeight="1" x14ac:dyDescent="0.2">
      <c r="A391"/>
      <c r="B391"/>
      <c r="C391"/>
      <c r="H391"/>
      <c r="I391"/>
      <c r="J391" s="243"/>
      <c r="K391"/>
      <c r="L391"/>
      <c r="M391"/>
      <c r="N391"/>
      <c r="O391"/>
      <c r="P391"/>
    </row>
    <row r="392" spans="1:18" ht="12" customHeight="1" x14ac:dyDescent="0.2">
      <c r="A392"/>
      <c r="B392"/>
      <c r="C392"/>
      <c r="H392"/>
      <c r="I392"/>
      <c r="J392" s="243"/>
      <c r="K392"/>
      <c r="L392"/>
      <c r="M392"/>
      <c r="N392"/>
      <c r="O392"/>
      <c r="P392"/>
    </row>
    <row r="393" spans="1:18" ht="12" customHeight="1" x14ac:dyDescent="0.2">
      <c r="A393"/>
      <c r="B393"/>
      <c r="C393"/>
      <c r="H393"/>
      <c r="I393"/>
      <c r="J393" s="243"/>
      <c r="K393"/>
      <c r="L393"/>
      <c r="M393"/>
      <c r="N393"/>
      <c r="O393"/>
      <c r="P393"/>
    </row>
    <row r="394" spans="1:18" s="115" customFormat="1" ht="12" customHeight="1" x14ac:dyDescent="0.2">
      <c r="J394" s="243"/>
      <c r="R394" s="1007"/>
    </row>
    <row r="395" spans="1:18" ht="12" customHeight="1" x14ac:dyDescent="0.2">
      <c r="A395"/>
      <c r="B395"/>
      <c r="C395"/>
      <c r="H395"/>
      <c r="I395"/>
      <c r="J395" s="243"/>
      <c r="K395"/>
      <c r="L395"/>
      <c r="M395"/>
      <c r="N395"/>
      <c r="O395"/>
      <c r="P395"/>
    </row>
    <row r="396" spans="1:18" x14ac:dyDescent="0.2">
      <c r="A396"/>
      <c r="B396"/>
      <c r="C396"/>
      <c r="H396"/>
      <c r="I396"/>
      <c r="J396" s="243"/>
      <c r="K396"/>
      <c r="L396"/>
      <c r="M396"/>
      <c r="N396"/>
      <c r="O396"/>
      <c r="P396"/>
    </row>
    <row r="397" spans="1:18" x14ac:dyDescent="0.2">
      <c r="A397"/>
      <c r="B397"/>
      <c r="C397"/>
      <c r="H397"/>
      <c r="I397"/>
      <c r="J397" s="243"/>
      <c r="K397"/>
      <c r="L397"/>
      <c r="M397"/>
      <c r="N397"/>
      <c r="O397"/>
      <c r="P397"/>
    </row>
    <row r="398" spans="1:18" x14ac:dyDescent="0.2">
      <c r="A398"/>
      <c r="B398"/>
      <c r="C398"/>
      <c r="H398"/>
      <c r="I398"/>
      <c r="J398" s="243"/>
      <c r="K398"/>
      <c r="L398"/>
      <c r="M398"/>
      <c r="N398"/>
      <c r="O398"/>
      <c r="P398"/>
    </row>
    <row r="399" spans="1:18" x14ac:dyDescent="0.2">
      <c r="A399"/>
      <c r="B399"/>
      <c r="C399"/>
      <c r="H399"/>
      <c r="I399"/>
      <c r="J399" s="243"/>
      <c r="K399"/>
      <c r="L399"/>
      <c r="M399"/>
      <c r="N399"/>
      <c r="O399"/>
      <c r="P399"/>
    </row>
    <row r="400" spans="1:18" x14ac:dyDescent="0.2">
      <c r="A400"/>
      <c r="B400"/>
      <c r="C400"/>
      <c r="H400"/>
      <c r="I400"/>
      <c r="J400" s="243"/>
      <c r="K400"/>
      <c r="L400"/>
      <c r="M400"/>
      <c r="N400"/>
      <c r="O400"/>
      <c r="P400"/>
    </row>
    <row r="401" spans="1:18" x14ac:dyDescent="0.2">
      <c r="A401"/>
      <c r="B401"/>
      <c r="C401"/>
      <c r="H401"/>
      <c r="I401"/>
      <c r="J401" s="243"/>
      <c r="K401"/>
      <c r="L401"/>
      <c r="M401"/>
      <c r="N401"/>
      <c r="O401"/>
      <c r="P401"/>
    </row>
    <row r="402" spans="1:18" x14ac:dyDescent="0.2">
      <c r="A402"/>
      <c r="B402"/>
      <c r="C402"/>
      <c r="H402"/>
      <c r="I402"/>
      <c r="J402" s="243"/>
      <c r="K402"/>
      <c r="L402"/>
      <c r="M402"/>
      <c r="N402"/>
      <c r="O402"/>
      <c r="P402"/>
    </row>
    <row r="403" spans="1:18" x14ac:dyDescent="0.2">
      <c r="A403"/>
      <c r="B403"/>
      <c r="C403"/>
      <c r="H403"/>
      <c r="I403"/>
      <c r="J403" s="243"/>
      <c r="K403"/>
      <c r="L403"/>
      <c r="M403"/>
      <c r="N403"/>
      <c r="O403"/>
      <c r="P403"/>
    </row>
    <row r="404" spans="1:18" x14ac:dyDescent="0.2">
      <c r="A404"/>
      <c r="B404"/>
      <c r="C404"/>
      <c r="H404"/>
      <c r="I404"/>
      <c r="J404" s="243"/>
      <c r="K404"/>
      <c r="L404"/>
      <c r="M404"/>
      <c r="N404"/>
      <c r="O404"/>
      <c r="P404"/>
    </row>
    <row r="405" spans="1:18" x14ac:dyDescent="0.2">
      <c r="A405"/>
      <c r="B405"/>
      <c r="C405"/>
      <c r="H405"/>
      <c r="I405"/>
      <c r="J405" s="243"/>
      <c r="K405"/>
      <c r="L405"/>
      <c r="M405"/>
      <c r="N405"/>
      <c r="O405"/>
      <c r="P405"/>
    </row>
    <row r="406" spans="1:18" x14ac:dyDescent="0.2">
      <c r="A406"/>
      <c r="B406"/>
      <c r="C406"/>
      <c r="H406"/>
      <c r="I406"/>
      <c r="J406" s="243"/>
      <c r="K406"/>
      <c r="L406"/>
      <c r="M406"/>
      <c r="N406"/>
      <c r="O406"/>
      <c r="P406"/>
    </row>
    <row r="407" spans="1:18" x14ac:dyDescent="0.2">
      <c r="A407"/>
      <c r="B407"/>
      <c r="C407"/>
      <c r="H407"/>
      <c r="I407"/>
      <c r="J407" s="243"/>
      <c r="K407"/>
      <c r="L407"/>
      <c r="M407"/>
      <c r="N407"/>
      <c r="O407"/>
      <c r="P407"/>
    </row>
    <row r="408" spans="1:18" ht="12" customHeight="1" x14ac:dyDescent="0.2">
      <c r="A408"/>
      <c r="B408"/>
      <c r="C408"/>
      <c r="H408"/>
      <c r="I408"/>
      <c r="J408" s="243"/>
      <c r="K408"/>
      <c r="L408"/>
      <c r="M408"/>
      <c r="N408"/>
      <c r="O408"/>
      <c r="P408"/>
    </row>
    <row r="409" spans="1:18" ht="12" customHeight="1" x14ac:dyDescent="0.2">
      <c r="A409"/>
      <c r="B409"/>
      <c r="C409"/>
      <c r="H409"/>
      <c r="I409"/>
      <c r="J409" s="243"/>
      <c r="K409"/>
      <c r="L409"/>
      <c r="M409"/>
      <c r="N409"/>
      <c r="O409"/>
      <c r="P409"/>
    </row>
    <row r="410" spans="1:18" ht="12" customHeight="1" x14ac:dyDescent="0.2">
      <c r="A410"/>
      <c r="B410"/>
      <c r="C410"/>
      <c r="H410"/>
      <c r="I410"/>
      <c r="J410" s="243"/>
      <c r="K410"/>
      <c r="L410"/>
      <c r="M410"/>
      <c r="N410"/>
      <c r="O410"/>
      <c r="P410"/>
    </row>
    <row r="411" spans="1:18" ht="12" customHeight="1" x14ac:dyDescent="0.2">
      <c r="A411"/>
      <c r="B411"/>
      <c r="C411"/>
      <c r="H411"/>
      <c r="I411"/>
      <c r="J411" s="243"/>
      <c r="K411"/>
      <c r="L411"/>
      <c r="M411"/>
      <c r="N411"/>
      <c r="O411"/>
      <c r="P411"/>
    </row>
    <row r="412" spans="1:18" ht="12" customHeight="1" x14ac:dyDescent="0.2">
      <c r="A412"/>
      <c r="B412"/>
      <c r="C412"/>
      <c r="H412"/>
      <c r="I412"/>
      <c r="J412" s="243"/>
      <c r="K412"/>
      <c r="L412"/>
      <c r="M412"/>
      <c r="N412"/>
      <c r="O412"/>
      <c r="P412"/>
    </row>
    <row r="413" spans="1:18" ht="12" customHeight="1" x14ac:dyDescent="0.2">
      <c r="A413"/>
      <c r="B413"/>
      <c r="C413"/>
      <c r="H413"/>
      <c r="I413"/>
      <c r="J413" s="243"/>
      <c r="K413"/>
      <c r="L413"/>
      <c r="M413"/>
      <c r="N413"/>
      <c r="O413"/>
      <c r="P413"/>
    </row>
    <row r="414" spans="1:18" ht="12" customHeight="1" x14ac:dyDescent="0.2">
      <c r="A414"/>
      <c r="B414"/>
      <c r="C414"/>
      <c r="H414"/>
      <c r="I414"/>
      <c r="J414" s="243"/>
      <c r="K414"/>
      <c r="L414"/>
      <c r="M414"/>
      <c r="N414"/>
      <c r="O414"/>
      <c r="P414"/>
    </row>
    <row r="415" spans="1:18" ht="12" customHeight="1" x14ac:dyDescent="0.2">
      <c r="A415"/>
      <c r="B415"/>
      <c r="C415"/>
      <c r="H415"/>
      <c r="I415"/>
      <c r="J415" s="243"/>
      <c r="K415"/>
      <c r="L415"/>
      <c r="M415"/>
      <c r="N415"/>
      <c r="O415"/>
      <c r="P415"/>
    </row>
    <row r="416" spans="1:18" s="115" customFormat="1" ht="12" customHeight="1" x14ac:dyDescent="0.2">
      <c r="J416" s="243"/>
      <c r="R416" s="1007"/>
    </row>
    <row r="417" spans="1:16" ht="12" customHeight="1" x14ac:dyDescent="0.2">
      <c r="A417"/>
      <c r="B417"/>
      <c r="C417"/>
      <c r="H417"/>
      <c r="I417"/>
      <c r="J417" s="243"/>
      <c r="K417"/>
      <c r="L417"/>
      <c r="M417"/>
      <c r="N417"/>
      <c r="O417"/>
      <c r="P417"/>
    </row>
    <row r="418" spans="1:16" x14ac:dyDescent="0.2">
      <c r="A418"/>
      <c r="B418"/>
      <c r="C418"/>
      <c r="H418"/>
      <c r="I418"/>
      <c r="J418" s="243"/>
      <c r="K418"/>
      <c r="L418"/>
      <c r="M418"/>
      <c r="N418"/>
      <c r="O418"/>
      <c r="P418"/>
    </row>
    <row r="419" spans="1:16" x14ac:dyDescent="0.2">
      <c r="A419"/>
      <c r="B419"/>
      <c r="C419"/>
      <c r="H419"/>
      <c r="I419"/>
      <c r="J419" s="243"/>
      <c r="K419"/>
      <c r="L419"/>
      <c r="M419"/>
      <c r="N419"/>
      <c r="O419"/>
      <c r="P419"/>
    </row>
    <row r="420" spans="1:16" x14ac:dyDescent="0.2">
      <c r="A420"/>
      <c r="B420"/>
      <c r="C420"/>
      <c r="H420"/>
      <c r="I420"/>
      <c r="J420" s="243"/>
      <c r="K420"/>
      <c r="L420"/>
      <c r="M420"/>
      <c r="N420"/>
      <c r="O420"/>
      <c r="P420"/>
    </row>
    <row r="421" spans="1:16" x14ac:dyDescent="0.2">
      <c r="A421"/>
      <c r="B421"/>
      <c r="C421"/>
      <c r="H421"/>
      <c r="I421"/>
      <c r="J421" s="243"/>
      <c r="K421"/>
      <c r="L421"/>
      <c r="M421"/>
      <c r="N421"/>
      <c r="O421"/>
      <c r="P421"/>
    </row>
    <row r="422" spans="1:16" x14ac:dyDescent="0.2">
      <c r="A422"/>
      <c r="B422"/>
      <c r="C422"/>
      <c r="H422"/>
      <c r="I422"/>
      <c r="J422" s="243"/>
      <c r="K422"/>
      <c r="L422"/>
      <c r="M422"/>
      <c r="N422"/>
      <c r="O422"/>
      <c r="P422"/>
    </row>
    <row r="423" spans="1:16" x14ac:dyDescent="0.2">
      <c r="A423"/>
      <c r="B423"/>
      <c r="C423"/>
      <c r="H423"/>
      <c r="I423"/>
      <c r="J423" s="243"/>
      <c r="K423"/>
      <c r="L423"/>
      <c r="M423"/>
      <c r="N423"/>
      <c r="O423"/>
      <c r="P423"/>
    </row>
    <row r="424" spans="1:16" x14ac:dyDescent="0.2">
      <c r="A424"/>
      <c r="B424"/>
      <c r="C424"/>
      <c r="H424"/>
      <c r="I424"/>
      <c r="J424" s="243"/>
      <c r="K424"/>
      <c r="L424"/>
      <c r="M424"/>
      <c r="N424"/>
      <c r="O424"/>
      <c r="P424"/>
    </row>
    <row r="425" spans="1:16" x14ac:dyDescent="0.2">
      <c r="A425"/>
      <c r="B425"/>
      <c r="C425"/>
      <c r="H425"/>
      <c r="I425"/>
      <c r="J425" s="243"/>
      <c r="K425"/>
      <c r="L425"/>
      <c r="M425"/>
      <c r="N425"/>
      <c r="O425"/>
      <c r="P425"/>
    </row>
    <row r="426" spans="1:16" x14ac:dyDescent="0.2">
      <c r="A426"/>
      <c r="B426"/>
      <c r="C426"/>
      <c r="H426"/>
      <c r="I426"/>
      <c r="J426" s="243"/>
      <c r="K426"/>
      <c r="L426"/>
      <c r="M426"/>
      <c r="N426"/>
      <c r="O426"/>
      <c r="P426"/>
    </row>
    <row r="427" spans="1:16" x14ac:dyDescent="0.2">
      <c r="A427"/>
      <c r="B427"/>
      <c r="C427"/>
      <c r="H427"/>
      <c r="I427"/>
      <c r="J427" s="243"/>
      <c r="K427"/>
      <c r="L427"/>
      <c r="M427"/>
      <c r="N427"/>
      <c r="O427"/>
      <c r="P427"/>
    </row>
    <row r="428" spans="1:16" x14ac:dyDescent="0.2">
      <c r="A428"/>
      <c r="B428"/>
      <c r="C428"/>
      <c r="H428"/>
      <c r="I428"/>
      <c r="J428" s="243"/>
      <c r="K428"/>
      <c r="L428"/>
      <c r="M428"/>
      <c r="N428"/>
      <c r="O428"/>
      <c r="P428"/>
    </row>
    <row r="429" spans="1:16" x14ac:dyDescent="0.2">
      <c r="A429"/>
      <c r="B429"/>
      <c r="C429"/>
      <c r="H429"/>
      <c r="I429"/>
      <c r="J429" s="243"/>
      <c r="K429"/>
      <c r="L429"/>
      <c r="M429"/>
      <c r="N429"/>
      <c r="O429"/>
      <c r="P429"/>
    </row>
    <row r="430" spans="1:16" x14ac:dyDescent="0.2">
      <c r="A430"/>
      <c r="B430"/>
      <c r="C430"/>
      <c r="H430"/>
      <c r="I430"/>
      <c r="J430" s="243"/>
      <c r="K430"/>
      <c r="L430"/>
      <c r="M430"/>
      <c r="N430"/>
      <c r="O430"/>
      <c r="P430"/>
    </row>
    <row r="431" spans="1:16" ht="12" customHeight="1" x14ac:dyDescent="0.2">
      <c r="A431"/>
      <c r="B431"/>
      <c r="C431"/>
      <c r="H431"/>
      <c r="I431"/>
      <c r="J431" s="243"/>
      <c r="K431"/>
      <c r="L431"/>
      <c r="M431"/>
      <c r="N431"/>
      <c r="O431"/>
      <c r="P431"/>
    </row>
    <row r="432" spans="1:16" ht="12" customHeight="1" x14ac:dyDescent="0.2">
      <c r="A432"/>
      <c r="B432"/>
      <c r="C432"/>
      <c r="H432"/>
      <c r="I432"/>
      <c r="J432" s="243"/>
      <c r="K432"/>
      <c r="L432"/>
      <c r="M432"/>
      <c r="N432"/>
      <c r="O432"/>
      <c r="P432"/>
    </row>
    <row r="433" spans="1:16" ht="12" customHeight="1" x14ac:dyDescent="0.2">
      <c r="A433"/>
      <c r="B433"/>
      <c r="C433"/>
      <c r="H433"/>
      <c r="I433"/>
      <c r="J433" s="243"/>
      <c r="K433"/>
      <c r="L433"/>
      <c r="M433"/>
      <c r="N433"/>
      <c r="O433"/>
      <c r="P433"/>
    </row>
    <row r="434" spans="1:16" ht="12" customHeight="1" x14ac:dyDescent="0.2">
      <c r="A434"/>
      <c r="B434"/>
      <c r="C434"/>
      <c r="H434"/>
      <c r="I434"/>
      <c r="J434" s="243"/>
      <c r="K434"/>
      <c r="L434"/>
      <c r="M434"/>
      <c r="N434"/>
      <c r="O434"/>
      <c r="P434"/>
    </row>
    <row r="435" spans="1:16" ht="12" customHeight="1" x14ac:dyDescent="0.2">
      <c r="A435"/>
      <c r="B435"/>
      <c r="C435"/>
      <c r="H435"/>
      <c r="I435"/>
      <c r="J435" s="243"/>
      <c r="K435"/>
      <c r="L435"/>
      <c r="M435"/>
      <c r="N435"/>
      <c r="O435"/>
      <c r="P435"/>
    </row>
    <row r="436" spans="1:16" ht="12" customHeight="1" x14ac:dyDescent="0.2">
      <c r="A436"/>
      <c r="B436"/>
      <c r="C436"/>
      <c r="H436"/>
      <c r="I436"/>
      <c r="J436" s="243"/>
      <c r="K436"/>
      <c r="L436"/>
      <c r="M436"/>
      <c r="N436"/>
      <c r="O436"/>
      <c r="P436"/>
    </row>
    <row r="437" spans="1:16" ht="12" customHeight="1" x14ac:dyDescent="0.2">
      <c r="A437"/>
      <c r="B437"/>
      <c r="C437"/>
      <c r="H437"/>
      <c r="I437"/>
      <c r="J437" s="243"/>
      <c r="K437"/>
      <c r="L437"/>
      <c r="M437"/>
      <c r="N437"/>
      <c r="O437"/>
      <c r="P437"/>
    </row>
    <row r="438" spans="1:16" ht="12" customHeight="1" x14ac:dyDescent="0.2">
      <c r="A438"/>
      <c r="B438"/>
      <c r="C438"/>
      <c r="H438"/>
      <c r="I438"/>
      <c r="J438" s="243"/>
      <c r="K438"/>
      <c r="L438"/>
      <c r="M438"/>
      <c r="N438"/>
      <c r="O438"/>
      <c r="P438"/>
    </row>
    <row r="439" spans="1:16" ht="12" customHeight="1" x14ac:dyDescent="0.2">
      <c r="A439"/>
      <c r="B439"/>
      <c r="C439"/>
      <c r="H439"/>
      <c r="I439"/>
      <c r="J439" s="243"/>
      <c r="K439"/>
      <c r="L439"/>
      <c r="M439"/>
      <c r="N439"/>
      <c r="O439"/>
      <c r="P439"/>
    </row>
    <row r="440" spans="1:16" x14ac:dyDescent="0.2">
      <c r="A440"/>
      <c r="B440"/>
      <c r="C440"/>
      <c r="H440"/>
      <c r="I440"/>
      <c r="J440" s="243"/>
      <c r="K440"/>
      <c r="L440"/>
      <c r="M440"/>
      <c r="N440"/>
      <c r="O440"/>
      <c r="P440"/>
    </row>
    <row r="441" spans="1:16" x14ac:dyDescent="0.2">
      <c r="A441"/>
      <c r="B441"/>
      <c r="C441"/>
      <c r="H441"/>
      <c r="I441"/>
      <c r="J441" s="243"/>
      <c r="K441"/>
      <c r="L441"/>
      <c r="M441"/>
      <c r="N441"/>
      <c r="O441"/>
      <c r="P441"/>
    </row>
    <row r="442" spans="1:16" x14ac:dyDescent="0.2">
      <c r="A442"/>
      <c r="B442"/>
      <c r="C442"/>
      <c r="H442"/>
      <c r="I442"/>
      <c r="J442" s="243"/>
      <c r="K442"/>
      <c r="L442"/>
      <c r="M442"/>
      <c r="N442"/>
      <c r="O442"/>
      <c r="P442"/>
    </row>
    <row r="443" spans="1:16" x14ac:dyDescent="0.2">
      <c r="A443"/>
      <c r="B443"/>
      <c r="C443"/>
      <c r="H443"/>
      <c r="I443"/>
      <c r="J443" s="243"/>
      <c r="K443"/>
      <c r="L443"/>
      <c r="M443"/>
      <c r="N443"/>
      <c r="O443"/>
      <c r="P443"/>
    </row>
    <row r="444" spans="1:16" x14ac:dyDescent="0.2">
      <c r="A444"/>
      <c r="B444"/>
      <c r="C444"/>
      <c r="H444"/>
      <c r="I444"/>
      <c r="J444" s="243"/>
      <c r="K444"/>
      <c r="L444"/>
      <c r="M444"/>
      <c r="N444"/>
      <c r="O444"/>
      <c r="P444"/>
    </row>
    <row r="445" spans="1:16" x14ac:dyDescent="0.2">
      <c r="A445"/>
      <c r="B445"/>
      <c r="C445"/>
      <c r="H445"/>
      <c r="I445"/>
      <c r="J445" s="243"/>
      <c r="K445"/>
      <c r="L445"/>
      <c r="M445"/>
      <c r="N445"/>
      <c r="O445"/>
      <c r="P445"/>
    </row>
    <row r="446" spans="1:16" x14ac:dyDescent="0.2">
      <c r="A446"/>
      <c r="B446"/>
      <c r="C446"/>
      <c r="H446"/>
      <c r="I446"/>
      <c r="J446" s="243"/>
      <c r="K446"/>
      <c r="L446"/>
      <c r="M446"/>
      <c r="N446"/>
      <c r="O446"/>
      <c r="P446"/>
    </row>
    <row r="447" spans="1:16" x14ac:dyDescent="0.2">
      <c r="A447"/>
      <c r="B447"/>
      <c r="C447"/>
      <c r="H447"/>
      <c r="I447"/>
      <c r="J447" s="243"/>
      <c r="K447"/>
      <c r="L447"/>
      <c r="M447"/>
      <c r="N447"/>
      <c r="O447"/>
      <c r="P447"/>
    </row>
    <row r="448" spans="1:16" x14ac:dyDescent="0.2">
      <c r="A448"/>
      <c r="B448"/>
      <c r="C448"/>
      <c r="H448"/>
      <c r="I448"/>
      <c r="J448" s="243"/>
      <c r="K448"/>
      <c r="L448"/>
      <c r="M448"/>
      <c r="N448"/>
      <c r="O448"/>
      <c r="P448"/>
    </row>
    <row r="449" spans="1:18" x14ac:dyDescent="0.2">
      <c r="A449"/>
      <c r="B449"/>
      <c r="C449"/>
      <c r="H449"/>
      <c r="I449"/>
      <c r="J449" s="243"/>
      <c r="K449"/>
      <c r="L449"/>
      <c r="M449"/>
      <c r="N449"/>
      <c r="O449"/>
      <c r="P449"/>
    </row>
    <row r="450" spans="1:18" x14ac:dyDescent="0.2">
      <c r="A450"/>
      <c r="B450"/>
      <c r="C450"/>
      <c r="H450"/>
      <c r="I450"/>
      <c r="J450" s="243"/>
      <c r="K450"/>
      <c r="L450"/>
      <c r="M450"/>
      <c r="N450"/>
      <c r="O450"/>
      <c r="P450"/>
    </row>
    <row r="451" spans="1:18" x14ac:dyDescent="0.2">
      <c r="A451"/>
      <c r="B451"/>
      <c r="C451"/>
      <c r="H451"/>
      <c r="I451"/>
      <c r="J451" s="243"/>
      <c r="K451"/>
      <c r="L451"/>
      <c r="M451"/>
      <c r="N451"/>
      <c r="O451"/>
      <c r="P451"/>
    </row>
    <row r="452" spans="1:18" ht="12" customHeight="1" x14ac:dyDescent="0.2">
      <c r="A452"/>
      <c r="B452"/>
      <c r="C452"/>
      <c r="H452"/>
      <c r="I452"/>
      <c r="J452" s="243"/>
      <c r="K452"/>
      <c r="L452"/>
      <c r="M452"/>
      <c r="N452"/>
      <c r="O452"/>
      <c r="P452"/>
    </row>
    <row r="453" spans="1:18" ht="12" customHeight="1" x14ac:dyDescent="0.2">
      <c r="A453"/>
      <c r="B453"/>
      <c r="C453"/>
      <c r="H453"/>
      <c r="I453"/>
      <c r="J453" s="243"/>
      <c r="K453"/>
      <c r="L453"/>
      <c r="M453"/>
      <c r="N453"/>
      <c r="O453"/>
      <c r="P453"/>
    </row>
    <row r="454" spans="1:18" ht="12" customHeight="1" x14ac:dyDescent="0.2">
      <c r="A454"/>
      <c r="B454"/>
      <c r="C454"/>
      <c r="H454"/>
      <c r="I454"/>
      <c r="J454" s="243"/>
      <c r="K454"/>
      <c r="L454"/>
      <c r="M454"/>
      <c r="N454"/>
      <c r="O454"/>
      <c r="P454"/>
    </row>
    <row r="455" spans="1:18" ht="12" customHeight="1" x14ac:dyDescent="0.2">
      <c r="A455"/>
      <c r="B455"/>
      <c r="C455"/>
      <c r="H455"/>
      <c r="I455"/>
      <c r="J455" s="243"/>
      <c r="K455"/>
      <c r="L455"/>
      <c r="M455"/>
      <c r="N455"/>
      <c r="O455"/>
      <c r="P455"/>
    </row>
    <row r="456" spans="1:18" ht="12" customHeight="1" x14ac:dyDescent="0.2">
      <c r="A456"/>
      <c r="B456"/>
      <c r="C456"/>
      <c r="H456"/>
      <c r="I456"/>
      <c r="J456" s="243"/>
      <c r="K456"/>
      <c r="L456"/>
      <c r="M456"/>
      <c r="N456"/>
      <c r="O456"/>
      <c r="P456"/>
    </row>
    <row r="457" spans="1:18" ht="12" customHeight="1" x14ac:dyDescent="0.2">
      <c r="A457"/>
      <c r="B457"/>
      <c r="C457"/>
      <c r="H457"/>
      <c r="I457"/>
      <c r="J457" s="243"/>
      <c r="K457"/>
      <c r="L457"/>
      <c r="M457"/>
      <c r="N457"/>
      <c r="O457"/>
      <c r="P457"/>
    </row>
    <row r="458" spans="1:18" ht="12" customHeight="1" x14ac:dyDescent="0.2">
      <c r="A458"/>
      <c r="B458"/>
      <c r="C458"/>
      <c r="H458"/>
      <c r="I458"/>
      <c r="J458" s="243"/>
      <c r="K458"/>
      <c r="L458"/>
      <c r="M458"/>
      <c r="N458"/>
      <c r="O458"/>
      <c r="P458"/>
    </row>
    <row r="459" spans="1:18" s="115" customFormat="1" ht="12" customHeight="1" x14ac:dyDescent="0.2">
      <c r="J459" s="243"/>
      <c r="R459" s="1007"/>
    </row>
    <row r="460" spans="1:18" ht="12" customHeight="1" x14ac:dyDescent="0.2">
      <c r="A460"/>
      <c r="B460"/>
      <c r="C460"/>
      <c r="H460"/>
      <c r="I460"/>
      <c r="J460" s="243"/>
      <c r="K460"/>
      <c r="L460"/>
      <c r="M460"/>
      <c r="N460"/>
      <c r="O460"/>
      <c r="P460"/>
    </row>
    <row r="461" spans="1:18" x14ac:dyDescent="0.2">
      <c r="A461"/>
      <c r="B461"/>
      <c r="C461"/>
      <c r="H461"/>
      <c r="I461"/>
      <c r="J461" s="243"/>
      <c r="K461"/>
      <c r="L461"/>
      <c r="M461"/>
      <c r="N461"/>
      <c r="O461"/>
      <c r="P461"/>
    </row>
    <row r="462" spans="1:18" x14ac:dyDescent="0.2">
      <c r="A462"/>
      <c r="B462"/>
      <c r="C462"/>
      <c r="H462"/>
      <c r="I462"/>
      <c r="J462" s="243"/>
      <c r="K462"/>
      <c r="L462"/>
      <c r="M462"/>
      <c r="N462"/>
      <c r="O462"/>
      <c r="P462"/>
    </row>
    <row r="463" spans="1:18" x14ac:dyDescent="0.2">
      <c r="A463"/>
      <c r="B463"/>
      <c r="C463"/>
      <c r="H463"/>
      <c r="I463"/>
      <c r="J463" s="243"/>
      <c r="K463"/>
      <c r="L463"/>
      <c r="M463"/>
      <c r="N463"/>
      <c r="O463"/>
      <c r="P463"/>
    </row>
    <row r="464" spans="1:18" x14ac:dyDescent="0.2">
      <c r="A464"/>
      <c r="B464"/>
      <c r="C464"/>
      <c r="H464"/>
      <c r="I464"/>
      <c r="J464" s="243"/>
      <c r="K464"/>
      <c r="L464"/>
      <c r="M464"/>
      <c r="N464"/>
      <c r="O464"/>
      <c r="P464"/>
    </row>
    <row r="465" spans="1:16" x14ac:dyDescent="0.2">
      <c r="A465"/>
      <c r="B465"/>
      <c r="C465"/>
      <c r="H465"/>
      <c r="I465"/>
      <c r="J465" s="243"/>
      <c r="K465"/>
      <c r="L465"/>
      <c r="M465"/>
      <c r="N465"/>
      <c r="O465"/>
      <c r="P465"/>
    </row>
    <row r="466" spans="1:16" x14ac:dyDescent="0.2">
      <c r="A466"/>
      <c r="B466"/>
      <c r="C466"/>
      <c r="H466"/>
      <c r="I466"/>
      <c r="J466" s="243"/>
      <c r="K466"/>
      <c r="L466"/>
      <c r="M466"/>
      <c r="N466"/>
      <c r="O466"/>
      <c r="P466"/>
    </row>
    <row r="467" spans="1:16" x14ac:dyDescent="0.2">
      <c r="A467"/>
      <c r="B467"/>
      <c r="C467"/>
      <c r="H467"/>
      <c r="I467"/>
      <c r="J467" s="243"/>
      <c r="K467"/>
      <c r="L467"/>
      <c r="M467"/>
      <c r="N467"/>
      <c r="O467"/>
      <c r="P467"/>
    </row>
    <row r="468" spans="1:16" x14ac:dyDescent="0.2">
      <c r="A468"/>
      <c r="B468"/>
      <c r="C468"/>
      <c r="H468"/>
      <c r="I468"/>
      <c r="J468" s="243"/>
      <c r="K468"/>
      <c r="L468"/>
      <c r="M468"/>
      <c r="N468"/>
      <c r="O468"/>
      <c r="P468"/>
    </row>
    <row r="469" spans="1:16" x14ac:dyDescent="0.2">
      <c r="A469"/>
      <c r="B469"/>
      <c r="C469"/>
      <c r="H469"/>
      <c r="I469"/>
      <c r="J469" s="243"/>
      <c r="K469"/>
      <c r="L469"/>
      <c r="M469"/>
      <c r="N469"/>
      <c r="O469"/>
      <c r="P469"/>
    </row>
    <row r="470" spans="1:16" x14ac:dyDescent="0.2">
      <c r="A470"/>
      <c r="B470"/>
      <c r="C470"/>
      <c r="H470"/>
      <c r="I470"/>
      <c r="J470" s="243"/>
      <c r="K470"/>
      <c r="L470"/>
      <c r="M470"/>
      <c r="N470"/>
      <c r="O470"/>
      <c r="P470"/>
    </row>
    <row r="471" spans="1:16" ht="12" customHeight="1" x14ac:dyDescent="0.2">
      <c r="A471"/>
      <c r="B471"/>
      <c r="C471"/>
      <c r="H471"/>
      <c r="I471"/>
      <c r="J471" s="243"/>
      <c r="K471"/>
      <c r="L471"/>
      <c r="M471"/>
      <c r="N471"/>
      <c r="O471"/>
      <c r="P471"/>
    </row>
    <row r="472" spans="1:16" ht="12" customHeight="1" x14ac:dyDescent="0.2">
      <c r="A472"/>
      <c r="B472"/>
      <c r="C472"/>
      <c r="H472"/>
      <c r="I472"/>
      <c r="J472" s="243"/>
      <c r="K472"/>
      <c r="L472"/>
      <c r="M472"/>
      <c r="N472"/>
      <c r="O472"/>
      <c r="P472"/>
    </row>
    <row r="473" spans="1:16" ht="12" customHeight="1" x14ac:dyDescent="0.2">
      <c r="A473"/>
      <c r="B473"/>
      <c r="C473"/>
      <c r="H473"/>
      <c r="I473"/>
      <c r="J473" s="243"/>
      <c r="K473"/>
      <c r="L473"/>
      <c r="M473"/>
      <c r="N473"/>
      <c r="O473"/>
      <c r="P473"/>
    </row>
    <row r="474" spans="1:16" ht="12" customHeight="1" x14ac:dyDescent="0.2">
      <c r="A474"/>
      <c r="B474"/>
      <c r="C474"/>
      <c r="H474"/>
      <c r="I474"/>
      <c r="J474" s="243"/>
      <c r="K474"/>
      <c r="L474"/>
      <c r="M474"/>
      <c r="N474"/>
      <c r="O474"/>
      <c r="P474"/>
    </row>
    <row r="475" spans="1:16" ht="12" customHeight="1" x14ac:dyDescent="0.2">
      <c r="A475"/>
      <c r="B475"/>
      <c r="C475"/>
      <c r="H475"/>
      <c r="I475"/>
      <c r="J475" s="243"/>
      <c r="K475"/>
      <c r="L475"/>
      <c r="M475"/>
      <c r="N475"/>
      <c r="O475"/>
      <c r="P475"/>
    </row>
    <row r="476" spans="1:16" ht="15" customHeight="1" x14ac:dyDescent="0.2">
      <c r="A476"/>
      <c r="B476"/>
      <c r="C476"/>
      <c r="H476"/>
      <c r="I476"/>
      <c r="J476" s="243"/>
      <c r="K476"/>
      <c r="L476"/>
      <c r="M476"/>
      <c r="N476"/>
      <c r="O476"/>
      <c r="P476"/>
    </row>
    <row r="477" spans="1:16" ht="15" customHeight="1" x14ac:dyDescent="0.2">
      <c r="A477"/>
      <c r="B477"/>
      <c r="C477"/>
      <c r="H477"/>
      <c r="I477"/>
      <c r="J477" s="243"/>
      <c r="K477"/>
      <c r="L477"/>
      <c r="M477"/>
      <c r="N477"/>
      <c r="O477"/>
      <c r="P477"/>
    </row>
    <row r="478" spans="1:16" x14ac:dyDescent="0.2">
      <c r="A478"/>
      <c r="B478"/>
      <c r="C478"/>
      <c r="H478"/>
      <c r="I478"/>
      <c r="J478" s="243"/>
      <c r="K478"/>
      <c r="L478"/>
      <c r="M478"/>
      <c r="N478"/>
      <c r="O478"/>
      <c r="P478"/>
    </row>
    <row r="479" spans="1:16" ht="12" customHeight="1" x14ac:dyDescent="0.2">
      <c r="A479"/>
      <c r="B479"/>
      <c r="C479"/>
      <c r="H479"/>
      <c r="I479"/>
      <c r="J479" s="243"/>
      <c r="K479"/>
      <c r="L479"/>
      <c r="M479"/>
      <c r="N479"/>
      <c r="O479"/>
      <c r="P479"/>
    </row>
    <row r="480" spans="1:16" ht="12" customHeight="1" x14ac:dyDescent="0.2">
      <c r="A480"/>
      <c r="B480"/>
      <c r="C480"/>
      <c r="H480"/>
      <c r="I480"/>
      <c r="J480" s="243"/>
      <c r="K480"/>
      <c r="L480"/>
      <c r="M480"/>
      <c r="N480"/>
      <c r="O480"/>
      <c r="P480"/>
    </row>
    <row r="481" spans="1:16" ht="12" customHeight="1" x14ac:dyDescent="0.2">
      <c r="A481"/>
      <c r="B481"/>
      <c r="C481"/>
      <c r="H481"/>
      <c r="I481"/>
      <c r="J481" s="243"/>
      <c r="K481"/>
      <c r="L481"/>
      <c r="M481"/>
      <c r="N481"/>
      <c r="O481"/>
      <c r="P481"/>
    </row>
    <row r="482" spans="1:16" ht="12" customHeight="1" x14ac:dyDescent="0.2">
      <c r="A482"/>
      <c r="B482"/>
      <c r="C482"/>
      <c r="H482"/>
      <c r="I482"/>
      <c r="J482" s="243"/>
      <c r="K482"/>
      <c r="L482"/>
      <c r="M482"/>
      <c r="N482"/>
      <c r="O482"/>
      <c r="P482"/>
    </row>
    <row r="483" spans="1:16" ht="12" customHeight="1" x14ac:dyDescent="0.2">
      <c r="A483"/>
      <c r="B483"/>
      <c r="C483"/>
      <c r="H483"/>
      <c r="I483"/>
      <c r="J483" s="243"/>
      <c r="K483"/>
      <c r="L483"/>
      <c r="M483"/>
      <c r="N483"/>
      <c r="O483"/>
      <c r="P483"/>
    </row>
    <row r="484" spans="1:16" x14ac:dyDescent="0.2">
      <c r="A484"/>
      <c r="B484"/>
      <c r="C484"/>
      <c r="H484"/>
      <c r="I484"/>
      <c r="J484" s="243"/>
      <c r="K484"/>
      <c r="L484"/>
      <c r="M484"/>
      <c r="N484"/>
      <c r="O484"/>
      <c r="P484"/>
    </row>
    <row r="485" spans="1:16" x14ac:dyDescent="0.2">
      <c r="A485"/>
      <c r="B485"/>
      <c r="C485"/>
      <c r="H485"/>
      <c r="I485"/>
      <c r="J485" s="243"/>
      <c r="K485"/>
      <c r="L485"/>
      <c r="M485"/>
      <c r="N485"/>
      <c r="O485"/>
      <c r="P485"/>
    </row>
    <row r="486" spans="1:16" ht="12" customHeight="1" x14ac:dyDescent="0.2">
      <c r="A486"/>
      <c r="B486"/>
      <c r="C486"/>
      <c r="H486"/>
      <c r="I486"/>
      <c r="J486" s="243"/>
      <c r="K486"/>
      <c r="L486"/>
      <c r="M486"/>
      <c r="N486"/>
      <c r="O486"/>
      <c r="P486"/>
    </row>
    <row r="487" spans="1:16" ht="12" customHeight="1" x14ac:dyDescent="0.2">
      <c r="A487"/>
      <c r="B487"/>
      <c r="C487"/>
      <c r="H487"/>
      <c r="I487"/>
      <c r="J487" s="243"/>
      <c r="K487"/>
      <c r="L487"/>
      <c r="M487"/>
      <c r="N487"/>
      <c r="O487"/>
      <c r="P487"/>
    </row>
    <row r="488" spans="1:16" ht="12" customHeight="1" x14ac:dyDescent="0.2">
      <c r="A488"/>
      <c r="B488"/>
      <c r="C488"/>
      <c r="H488"/>
      <c r="I488"/>
      <c r="J488" s="243"/>
      <c r="K488"/>
      <c r="L488"/>
      <c r="M488"/>
      <c r="N488"/>
      <c r="O488"/>
      <c r="P488"/>
    </row>
    <row r="489" spans="1:16" ht="12" customHeight="1" x14ac:dyDescent="0.2">
      <c r="A489"/>
      <c r="B489"/>
      <c r="C489"/>
      <c r="H489"/>
      <c r="I489"/>
      <c r="J489" s="243"/>
      <c r="K489"/>
      <c r="L489"/>
      <c r="M489"/>
      <c r="N489"/>
      <c r="O489"/>
      <c r="P489"/>
    </row>
    <row r="490" spans="1:16" ht="12" customHeight="1" x14ac:dyDescent="0.2">
      <c r="A490"/>
      <c r="B490"/>
      <c r="C490"/>
      <c r="H490"/>
      <c r="I490"/>
      <c r="J490" s="243"/>
      <c r="K490"/>
      <c r="L490"/>
      <c r="M490"/>
      <c r="N490"/>
      <c r="O490"/>
      <c r="P490"/>
    </row>
    <row r="491" spans="1:16" ht="12" customHeight="1" x14ac:dyDescent="0.2">
      <c r="A491"/>
      <c r="B491"/>
      <c r="C491"/>
      <c r="H491"/>
      <c r="I491"/>
      <c r="J491" s="243"/>
      <c r="K491"/>
      <c r="L491"/>
      <c r="M491"/>
      <c r="N491"/>
      <c r="O491"/>
      <c r="P491"/>
    </row>
    <row r="492" spans="1:16" ht="12" customHeight="1" x14ac:dyDescent="0.2">
      <c r="A492"/>
      <c r="B492"/>
      <c r="C492"/>
      <c r="H492"/>
      <c r="I492"/>
      <c r="J492" s="243"/>
      <c r="K492"/>
      <c r="L492"/>
      <c r="M492"/>
      <c r="N492"/>
      <c r="O492"/>
      <c r="P492"/>
    </row>
    <row r="493" spans="1:16" x14ac:dyDescent="0.2">
      <c r="A493"/>
      <c r="B493"/>
      <c r="C493"/>
      <c r="H493"/>
      <c r="I493"/>
      <c r="J493" s="243"/>
      <c r="K493"/>
      <c r="L493"/>
      <c r="M493"/>
      <c r="N493"/>
      <c r="O493"/>
      <c r="P493"/>
    </row>
    <row r="494" spans="1:16" ht="12" customHeight="1" x14ac:dyDescent="0.2">
      <c r="A494"/>
      <c r="B494"/>
      <c r="C494"/>
      <c r="H494"/>
      <c r="I494"/>
      <c r="J494" s="243"/>
      <c r="K494"/>
      <c r="L494"/>
      <c r="M494"/>
      <c r="N494"/>
      <c r="O494"/>
      <c r="P494"/>
    </row>
    <row r="495" spans="1:16" ht="12" customHeight="1" x14ac:dyDescent="0.2">
      <c r="A495"/>
      <c r="B495"/>
      <c r="C495"/>
      <c r="H495"/>
      <c r="I495"/>
      <c r="J495" s="243"/>
      <c r="K495"/>
      <c r="L495"/>
      <c r="M495"/>
      <c r="N495"/>
      <c r="O495"/>
      <c r="P495"/>
    </row>
    <row r="496" spans="1:16" ht="12" customHeight="1" x14ac:dyDescent="0.2">
      <c r="A496"/>
      <c r="B496"/>
      <c r="C496"/>
      <c r="H496"/>
      <c r="I496"/>
      <c r="J496" s="243"/>
      <c r="K496"/>
      <c r="L496"/>
      <c r="M496"/>
      <c r="N496"/>
      <c r="O496"/>
      <c r="P496"/>
    </row>
    <row r="497" spans="1:16" ht="12" customHeight="1" x14ac:dyDescent="0.2">
      <c r="A497"/>
      <c r="B497"/>
      <c r="C497"/>
      <c r="H497"/>
      <c r="I497"/>
      <c r="J497" s="243"/>
      <c r="K497"/>
      <c r="L497"/>
      <c r="M497"/>
      <c r="N497"/>
      <c r="O497"/>
      <c r="P497"/>
    </row>
    <row r="498" spans="1:16" ht="12" customHeight="1" x14ac:dyDescent="0.2">
      <c r="A498"/>
      <c r="B498"/>
      <c r="C498"/>
      <c r="H498"/>
      <c r="I498"/>
      <c r="J498" s="243"/>
      <c r="K498"/>
      <c r="L498"/>
      <c r="M498"/>
      <c r="N498"/>
      <c r="O498"/>
      <c r="P498"/>
    </row>
    <row r="499" spans="1:16" ht="12" customHeight="1" x14ac:dyDescent="0.2">
      <c r="A499"/>
      <c r="B499"/>
      <c r="C499"/>
      <c r="H499"/>
      <c r="I499"/>
      <c r="J499" s="243"/>
      <c r="K499"/>
      <c r="L499"/>
      <c r="M499"/>
      <c r="N499"/>
      <c r="O499"/>
      <c r="P499"/>
    </row>
    <row r="500" spans="1:16" ht="12" customHeight="1" x14ac:dyDescent="0.2">
      <c r="A500"/>
      <c r="B500"/>
      <c r="C500"/>
      <c r="H500"/>
      <c r="I500"/>
      <c r="J500" s="243"/>
      <c r="K500"/>
      <c r="L500"/>
      <c r="M500"/>
      <c r="N500"/>
      <c r="O500"/>
      <c r="P500"/>
    </row>
    <row r="501" spans="1:16" x14ac:dyDescent="0.2">
      <c r="A501"/>
      <c r="B501"/>
      <c r="C501"/>
      <c r="H501"/>
      <c r="I501"/>
      <c r="J501" s="243"/>
      <c r="K501"/>
      <c r="L501"/>
      <c r="M501"/>
      <c r="N501"/>
      <c r="O501"/>
      <c r="P501"/>
    </row>
    <row r="502" spans="1:16" ht="12" customHeight="1" x14ac:dyDescent="0.2">
      <c r="A502"/>
      <c r="B502"/>
      <c r="C502"/>
      <c r="H502"/>
      <c r="I502"/>
      <c r="J502" s="243"/>
      <c r="K502"/>
      <c r="L502"/>
      <c r="M502"/>
      <c r="N502"/>
      <c r="O502"/>
      <c r="P502"/>
    </row>
    <row r="503" spans="1:16" ht="12" customHeight="1" x14ac:dyDescent="0.2">
      <c r="A503"/>
      <c r="B503"/>
      <c r="C503"/>
      <c r="H503"/>
      <c r="I503"/>
      <c r="J503" s="243"/>
      <c r="K503"/>
      <c r="L503"/>
      <c r="M503"/>
      <c r="N503"/>
      <c r="O503"/>
      <c r="P503"/>
    </row>
    <row r="504" spans="1:16" ht="12" customHeight="1" x14ac:dyDescent="0.2">
      <c r="A504"/>
      <c r="B504"/>
      <c r="C504"/>
      <c r="H504"/>
      <c r="I504"/>
      <c r="J504" s="243"/>
      <c r="K504"/>
      <c r="L504"/>
      <c r="M504"/>
      <c r="N504"/>
      <c r="O504"/>
      <c r="P504"/>
    </row>
    <row r="505" spans="1:16" ht="12" customHeight="1" x14ac:dyDescent="0.2">
      <c r="A505"/>
      <c r="B505"/>
      <c r="C505"/>
      <c r="H505"/>
      <c r="I505"/>
      <c r="J505" s="243"/>
      <c r="K505"/>
      <c r="L505"/>
      <c r="M505"/>
      <c r="N505"/>
      <c r="O505"/>
      <c r="P505"/>
    </row>
    <row r="506" spans="1:16" ht="12" customHeight="1" x14ac:dyDescent="0.2">
      <c r="A506"/>
      <c r="B506"/>
      <c r="C506"/>
      <c r="H506"/>
      <c r="I506"/>
      <c r="J506" s="243"/>
      <c r="K506"/>
      <c r="L506"/>
      <c r="M506"/>
      <c r="N506"/>
      <c r="O506"/>
      <c r="P506"/>
    </row>
    <row r="507" spans="1:16" ht="12" customHeight="1" x14ac:dyDescent="0.2">
      <c r="A507"/>
      <c r="B507"/>
      <c r="C507"/>
      <c r="H507"/>
      <c r="I507"/>
      <c r="J507" s="243"/>
      <c r="K507"/>
      <c r="L507"/>
      <c r="M507"/>
      <c r="N507"/>
      <c r="O507"/>
      <c r="P507"/>
    </row>
    <row r="508" spans="1:16" ht="12" customHeight="1" x14ac:dyDescent="0.2">
      <c r="A508"/>
      <c r="B508"/>
      <c r="C508"/>
      <c r="H508"/>
      <c r="I508"/>
      <c r="J508" s="243"/>
      <c r="K508"/>
      <c r="L508"/>
      <c r="M508"/>
      <c r="N508"/>
      <c r="O508"/>
      <c r="P508"/>
    </row>
    <row r="509" spans="1:16" x14ac:dyDescent="0.2">
      <c r="A509"/>
      <c r="B509"/>
      <c r="C509"/>
      <c r="H509"/>
      <c r="I509"/>
      <c r="J509" s="243"/>
      <c r="K509"/>
      <c r="L509"/>
      <c r="M509"/>
      <c r="N509"/>
      <c r="O509"/>
      <c r="P509"/>
    </row>
    <row r="510" spans="1:16" ht="12" customHeight="1" x14ac:dyDescent="0.2">
      <c r="A510"/>
      <c r="B510"/>
      <c r="C510"/>
      <c r="H510"/>
      <c r="I510"/>
      <c r="J510" s="243"/>
      <c r="K510"/>
      <c r="L510"/>
      <c r="M510"/>
      <c r="N510"/>
      <c r="O510"/>
      <c r="P510"/>
    </row>
    <row r="511" spans="1:16" ht="12" customHeight="1" x14ac:dyDescent="0.2">
      <c r="A511"/>
      <c r="B511"/>
      <c r="C511"/>
      <c r="H511"/>
      <c r="I511"/>
      <c r="J511" s="243"/>
      <c r="K511"/>
      <c r="L511"/>
      <c r="M511"/>
      <c r="N511"/>
      <c r="O511"/>
      <c r="P511"/>
    </row>
    <row r="512" spans="1:16" ht="12" customHeight="1" x14ac:dyDescent="0.2">
      <c r="A512"/>
      <c r="B512"/>
      <c r="C512"/>
      <c r="H512"/>
      <c r="I512"/>
      <c r="J512" s="243"/>
      <c r="K512"/>
      <c r="L512"/>
      <c r="M512"/>
      <c r="N512"/>
      <c r="O512"/>
      <c r="P512"/>
    </row>
    <row r="513" spans="1:16" ht="12" customHeight="1" x14ac:dyDescent="0.2">
      <c r="A513"/>
      <c r="B513"/>
      <c r="C513"/>
      <c r="H513"/>
      <c r="I513"/>
      <c r="J513" s="243"/>
      <c r="K513"/>
      <c r="L513"/>
      <c r="M513"/>
      <c r="N513"/>
      <c r="O513"/>
      <c r="P513"/>
    </row>
    <row r="514" spans="1:16" ht="12" customHeight="1" x14ac:dyDescent="0.2">
      <c r="A514"/>
      <c r="B514"/>
      <c r="C514"/>
      <c r="H514"/>
      <c r="I514"/>
      <c r="J514" s="243"/>
      <c r="K514"/>
      <c r="L514"/>
      <c r="M514"/>
      <c r="N514"/>
      <c r="O514"/>
      <c r="P514"/>
    </row>
    <row r="515" spans="1:16" ht="12" customHeight="1" x14ac:dyDescent="0.2">
      <c r="A515"/>
      <c r="B515"/>
      <c r="C515"/>
      <c r="H515"/>
      <c r="I515"/>
      <c r="J515" s="243"/>
      <c r="K515"/>
      <c r="L515"/>
      <c r="M515"/>
      <c r="N515"/>
      <c r="O515"/>
      <c r="P515"/>
    </row>
    <row r="516" spans="1:16" ht="12" customHeight="1" x14ac:dyDescent="0.2">
      <c r="A516"/>
      <c r="B516"/>
      <c r="C516"/>
      <c r="H516"/>
      <c r="I516"/>
      <c r="J516" s="243"/>
      <c r="K516"/>
      <c r="L516"/>
      <c r="M516"/>
      <c r="N516"/>
      <c r="O516"/>
      <c r="P516"/>
    </row>
    <row r="517" spans="1:16" x14ac:dyDescent="0.2">
      <c r="A517"/>
      <c r="B517"/>
      <c r="C517"/>
      <c r="H517"/>
      <c r="I517"/>
      <c r="J517" s="243"/>
      <c r="K517"/>
      <c r="L517"/>
      <c r="M517"/>
      <c r="N517"/>
      <c r="O517"/>
      <c r="P517"/>
    </row>
    <row r="518" spans="1:16" ht="12" customHeight="1" x14ac:dyDescent="0.2">
      <c r="A518"/>
      <c r="B518"/>
      <c r="C518"/>
      <c r="H518"/>
      <c r="I518"/>
      <c r="J518" s="243"/>
      <c r="K518"/>
      <c r="L518"/>
      <c r="M518"/>
      <c r="N518"/>
      <c r="O518"/>
      <c r="P518"/>
    </row>
    <row r="519" spans="1:16" ht="12" customHeight="1" x14ac:dyDescent="0.2">
      <c r="A519"/>
      <c r="B519"/>
      <c r="C519"/>
      <c r="H519"/>
      <c r="I519"/>
      <c r="J519" s="243"/>
      <c r="K519"/>
      <c r="L519"/>
      <c r="M519"/>
      <c r="N519"/>
      <c r="O519"/>
      <c r="P519"/>
    </row>
    <row r="520" spans="1:16" ht="12" customHeight="1" x14ac:dyDescent="0.2">
      <c r="A520"/>
      <c r="B520"/>
      <c r="C520"/>
      <c r="H520"/>
      <c r="I520"/>
      <c r="J520" s="243"/>
      <c r="K520"/>
      <c r="L520"/>
      <c r="M520"/>
      <c r="N520"/>
      <c r="O520"/>
      <c r="P520"/>
    </row>
    <row r="521" spans="1:16" ht="12" customHeight="1" x14ac:dyDescent="0.2">
      <c r="A521"/>
      <c r="B521"/>
      <c r="C521"/>
      <c r="H521"/>
      <c r="I521"/>
      <c r="J521" s="243"/>
      <c r="K521"/>
      <c r="L521"/>
      <c r="M521"/>
      <c r="N521"/>
      <c r="O521"/>
      <c r="P521"/>
    </row>
    <row r="522" spans="1:16" ht="12" customHeight="1" x14ac:dyDescent="0.2">
      <c r="A522"/>
      <c r="B522"/>
      <c r="C522"/>
      <c r="H522"/>
      <c r="I522"/>
      <c r="J522" s="243"/>
      <c r="K522"/>
      <c r="L522"/>
      <c r="M522"/>
      <c r="N522"/>
      <c r="O522"/>
      <c r="P522"/>
    </row>
    <row r="523" spans="1:16" ht="12" customHeight="1" x14ac:dyDescent="0.2">
      <c r="A523"/>
      <c r="B523"/>
      <c r="C523"/>
      <c r="H523"/>
      <c r="I523"/>
      <c r="J523" s="243"/>
      <c r="K523"/>
      <c r="L523"/>
      <c r="M523"/>
      <c r="N523"/>
      <c r="O523"/>
      <c r="P523"/>
    </row>
    <row r="524" spans="1:16" x14ac:dyDescent="0.2">
      <c r="A524"/>
      <c r="B524"/>
      <c r="C524"/>
      <c r="H524"/>
      <c r="I524"/>
      <c r="J524" s="243"/>
      <c r="K524"/>
      <c r="L524"/>
      <c r="M524"/>
      <c r="N524"/>
      <c r="O524"/>
      <c r="P524"/>
    </row>
    <row r="525" spans="1:16" ht="12" customHeight="1" x14ac:dyDescent="0.2">
      <c r="A525"/>
      <c r="B525"/>
      <c r="C525"/>
      <c r="H525"/>
      <c r="I525"/>
      <c r="J525" s="243"/>
      <c r="K525"/>
      <c r="L525"/>
      <c r="M525"/>
      <c r="N525"/>
      <c r="O525"/>
      <c r="P525"/>
    </row>
    <row r="526" spans="1:16" ht="12" customHeight="1" x14ac:dyDescent="0.2">
      <c r="A526"/>
      <c r="B526"/>
      <c r="C526"/>
      <c r="H526"/>
      <c r="I526"/>
      <c r="J526" s="243"/>
      <c r="K526"/>
      <c r="L526"/>
      <c r="M526"/>
      <c r="N526"/>
      <c r="O526"/>
      <c r="P526"/>
    </row>
    <row r="527" spans="1:16" ht="12" customHeight="1" x14ac:dyDescent="0.2">
      <c r="A527"/>
      <c r="B527"/>
      <c r="C527"/>
      <c r="H527"/>
      <c r="I527"/>
      <c r="J527" s="243"/>
      <c r="K527"/>
      <c r="L527"/>
      <c r="M527"/>
      <c r="N527"/>
      <c r="O527"/>
      <c r="P527"/>
    </row>
    <row r="528" spans="1:16" ht="12" customHeight="1" x14ac:dyDescent="0.2">
      <c r="A528"/>
      <c r="B528"/>
      <c r="C528"/>
      <c r="H528"/>
      <c r="I528"/>
      <c r="J528" s="243"/>
      <c r="K528"/>
      <c r="L528"/>
      <c r="M528"/>
      <c r="N528"/>
      <c r="O528"/>
      <c r="P528"/>
    </row>
    <row r="529" spans="1:16" ht="12" customHeight="1" x14ac:dyDescent="0.2">
      <c r="A529"/>
      <c r="B529"/>
      <c r="C529"/>
      <c r="H529"/>
      <c r="I529"/>
      <c r="J529" s="243"/>
      <c r="K529"/>
      <c r="L529"/>
      <c r="M529"/>
      <c r="N529"/>
      <c r="O529"/>
      <c r="P529"/>
    </row>
    <row r="530" spans="1:16" ht="12" customHeight="1" x14ac:dyDescent="0.2">
      <c r="A530"/>
      <c r="B530"/>
      <c r="C530"/>
      <c r="H530"/>
      <c r="I530"/>
      <c r="J530" s="243"/>
      <c r="K530"/>
      <c r="L530"/>
      <c r="M530"/>
      <c r="N530"/>
      <c r="O530"/>
      <c r="P530"/>
    </row>
    <row r="531" spans="1:16" ht="12" customHeight="1" x14ac:dyDescent="0.2">
      <c r="A531"/>
      <c r="B531"/>
      <c r="C531"/>
      <c r="H531"/>
      <c r="I531"/>
      <c r="J531" s="243"/>
      <c r="K531"/>
      <c r="L531"/>
      <c r="M531"/>
      <c r="N531"/>
      <c r="O531"/>
      <c r="P531"/>
    </row>
    <row r="532" spans="1:16" x14ac:dyDescent="0.2">
      <c r="A532"/>
      <c r="B532"/>
      <c r="C532"/>
      <c r="H532"/>
      <c r="I532"/>
      <c r="J532" s="243"/>
      <c r="K532"/>
      <c r="L532"/>
      <c r="M532"/>
      <c r="N532"/>
      <c r="O532"/>
      <c r="P532"/>
    </row>
    <row r="533" spans="1:16" ht="12" customHeight="1" x14ac:dyDescent="0.2">
      <c r="A533"/>
      <c r="B533"/>
      <c r="C533"/>
      <c r="H533"/>
      <c r="I533"/>
      <c r="J533" s="243"/>
      <c r="K533"/>
      <c r="L533"/>
      <c r="M533"/>
      <c r="N533"/>
      <c r="O533"/>
      <c r="P533"/>
    </row>
    <row r="534" spans="1:16" ht="12" customHeight="1" x14ac:dyDescent="0.2">
      <c r="A534"/>
      <c r="B534"/>
      <c r="C534"/>
      <c r="H534"/>
      <c r="I534"/>
      <c r="J534" s="243"/>
      <c r="K534"/>
      <c r="L534"/>
      <c r="M534"/>
      <c r="N534"/>
      <c r="O534"/>
      <c r="P534"/>
    </row>
    <row r="535" spans="1:16" ht="12" customHeight="1" x14ac:dyDescent="0.2">
      <c r="A535"/>
      <c r="B535"/>
      <c r="C535"/>
      <c r="H535"/>
      <c r="I535"/>
      <c r="J535" s="243"/>
      <c r="K535"/>
      <c r="L535"/>
      <c r="M535"/>
      <c r="N535"/>
      <c r="O535"/>
      <c r="P535"/>
    </row>
    <row r="536" spans="1:16" ht="12" customHeight="1" x14ac:dyDescent="0.2">
      <c r="A536"/>
      <c r="B536"/>
      <c r="C536"/>
      <c r="H536"/>
      <c r="I536"/>
      <c r="J536" s="243"/>
      <c r="K536"/>
      <c r="L536"/>
      <c r="M536"/>
      <c r="N536"/>
      <c r="O536"/>
      <c r="P536"/>
    </row>
    <row r="537" spans="1:16" ht="12" customHeight="1" x14ac:dyDescent="0.2">
      <c r="A537"/>
      <c r="B537"/>
      <c r="C537"/>
      <c r="H537"/>
      <c r="I537"/>
      <c r="J537" s="243"/>
      <c r="K537"/>
      <c r="L537"/>
      <c r="M537"/>
      <c r="N537"/>
      <c r="O537"/>
      <c r="P537"/>
    </row>
    <row r="538" spans="1:16" ht="12" customHeight="1" x14ac:dyDescent="0.2">
      <c r="A538"/>
      <c r="B538"/>
      <c r="C538"/>
      <c r="H538"/>
      <c r="I538"/>
      <c r="J538" s="243"/>
      <c r="K538"/>
      <c r="L538"/>
      <c r="M538"/>
      <c r="N538"/>
      <c r="O538"/>
      <c r="P538"/>
    </row>
    <row r="539" spans="1:16" ht="12" customHeight="1" x14ac:dyDescent="0.2">
      <c r="A539"/>
      <c r="B539"/>
      <c r="C539"/>
      <c r="H539"/>
      <c r="I539"/>
      <c r="J539" s="243"/>
      <c r="K539"/>
      <c r="L539"/>
      <c r="M539"/>
      <c r="N539"/>
      <c r="O539"/>
      <c r="P539"/>
    </row>
    <row r="540" spans="1:16" x14ac:dyDescent="0.2">
      <c r="A540"/>
      <c r="B540"/>
      <c r="C540"/>
      <c r="H540"/>
      <c r="I540"/>
      <c r="J540" s="243"/>
      <c r="K540"/>
      <c r="L540"/>
      <c r="M540"/>
      <c r="N540"/>
      <c r="O540"/>
      <c r="P540"/>
    </row>
    <row r="541" spans="1:16" ht="12" customHeight="1" x14ac:dyDescent="0.2">
      <c r="A541"/>
      <c r="B541"/>
      <c r="C541"/>
      <c r="H541"/>
      <c r="I541"/>
      <c r="J541" s="243"/>
      <c r="K541"/>
      <c r="L541"/>
      <c r="M541"/>
      <c r="N541"/>
      <c r="O541"/>
      <c r="P541"/>
    </row>
    <row r="542" spans="1:16" ht="12" customHeight="1" x14ac:dyDescent="0.2">
      <c r="A542"/>
      <c r="B542"/>
      <c r="C542"/>
      <c r="H542"/>
      <c r="I542"/>
      <c r="J542" s="243"/>
      <c r="K542"/>
      <c r="L542"/>
      <c r="M542"/>
      <c r="N542"/>
      <c r="O542"/>
      <c r="P542"/>
    </row>
    <row r="543" spans="1:16" ht="12" customHeight="1" x14ac:dyDescent="0.2">
      <c r="A543"/>
      <c r="B543"/>
      <c r="C543"/>
      <c r="H543"/>
      <c r="I543"/>
      <c r="J543" s="243"/>
      <c r="K543"/>
      <c r="L543"/>
      <c r="M543"/>
      <c r="N543"/>
      <c r="O543"/>
      <c r="P543"/>
    </row>
    <row r="544" spans="1:16" ht="12" customHeight="1" x14ac:dyDescent="0.2">
      <c r="A544"/>
      <c r="B544"/>
      <c r="C544"/>
      <c r="H544"/>
      <c r="I544"/>
      <c r="J544" s="243"/>
      <c r="K544"/>
      <c r="L544"/>
      <c r="M544"/>
      <c r="N544"/>
      <c r="O544"/>
      <c r="P544"/>
    </row>
    <row r="545" spans="1:16" ht="12" customHeight="1" x14ac:dyDescent="0.2">
      <c r="A545"/>
      <c r="B545"/>
      <c r="C545"/>
      <c r="H545"/>
      <c r="I545"/>
      <c r="J545" s="243"/>
      <c r="K545"/>
      <c r="L545"/>
      <c r="M545"/>
      <c r="N545"/>
      <c r="O545"/>
      <c r="P545"/>
    </row>
    <row r="546" spans="1:16" ht="12" customHeight="1" x14ac:dyDescent="0.2">
      <c r="A546"/>
      <c r="B546"/>
      <c r="C546"/>
      <c r="H546"/>
      <c r="I546"/>
      <c r="J546" s="243"/>
      <c r="K546"/>
      <c r="L546"/>
      <c r="M546"/>
      <c r="N546"/>
      <c r="O546"/>
      <c r="P546"/>
    </row>
    <row r="547" spans="1:16" ht="12" customHeight="1" x14ac:dyDescent="0.2">
      <c r="A547"/>
      <c r="B547"/>
      <c r="C547"/>
      <c r="H547"/>
      <c r="I547"/>
      <c r="J547" s="243"/>
      <c r="K547"/>
      <c r="L547"/>
      <c r="M547"/>
      <c r="N547"/>
      <c r="O547"/>
      <c r="P547"/>
    </row>
    <row r="548" spans="1:16" x14ac:dyDescent="0.2">
      <c r="A548"/>
      <c r="B548"/>
      <c r="C548"/>
      <c r="H548"/>
      <c r="I548"/>
      <c r="J548" s="243"/>
      <c r="K548"/>
      <c r="L548"/>
      <c r="M548"/>
      <c r="N548"/>
      <c r="O548"/>
      <c r="P548"/>
    </row>
    <row r="549" spans="1:16" ht="12" customHeight="1" x14ac:dyDescent="0.2">
      <c r="A549"/>
      <c r="B549"/>
      <c r="C549"/>
      <c r="H549"/>
      <c r="I549"/>
      <c r="J549" s="243"/>
      <c r="K549"/>
      <c r="L549"/>
      <c r="M549"/>
      <c r="N549"/>
      <c r="O549"/>
      <c r="P549"/>
    </row>
    <row r="550" spans="1:16" ht="12" customHeight="1" x14ac:dyDescent="0.2">
      <c r="A550"/>
      <c r="B550"/>
      <c r="C550"/>
      <c r="H550"/>
      <c r="I550"/>
      <c r="J550" s="243"/>
      <c r="K550"/>
      <c r="L550"/>
      <c r="M550"/>
      <c r="N550"/>
      <c r="O550"/>
      <c r="P550"/>
    </row>
    <row r="551" spans="1:16" ht="12" customHeight="1" x14ac:dyDescent="0.2">
      <c r="A551"/>
      <c r="B551"/>
      <c r="C551"/>
      <c r="H551"/>
      <c r="I551"/>
      <c r="J551" s="243"/>
      <c r="K551"/>
      <c r="L551"/>
      <c r="M551"/>
      <c r="N551"/>
      <c r="O551"/>
      <c r="P551"/>
    </row>
    <row r="552" spans="1:16" x14ac:dyDescent="0.2">
      <c r="A552"/>
      <c r="B552"/>
      <c r="C552"/>
      <c r="H552"/>
      <c r="I552"/>
      <c r="J552" s="243"/>
      <c r="K552"/>
      <c r="L552"/>
      <c r="M552"/>
      <c r="N552"/>
      <c r="O552"/>
      <c r="P552"/>
    </row>
    <row r="553" spans="1:16" ht="12.75" customHeight="1" x14ac:dyDescent="0.2">
      <c r="A553"/>
      <c r="B553"/>
      <c r="C553"/>
      <c r="H553"/>
      <c r="I553"/>
      <c r="J553" s="243"/>
      <c r="K553"/>
      <c r="L553"/>
      <c r="M553"/>
      <c r="N553"/>
      <c r="O553"/>
      <c r="P553"/>
    </row>
    <row r="554" spans="1:16" x14ac:dyDescent="0.2">
      <c r="A554"/>
      <c r="B554"/>
      <c r="C554"/>
      <c r="H554"/>
      <c r="I554"/>
      <c r="J554" s="243"/>
      <c r="K554"/>
      <c r="L554"/>
      <c r="M554"/>
      <c r="N554"/>
      <c r="O554"/>
      <c r="P554"/>
    </row>
    <row r="555" spans="1:16" ht="12" customHeight="1" x14ac:dyDescent="0.2">
      <c r="A555"/>
      <c r="B555"/>
      <c r="C555"/>
      <c r="H555"/>
      <c r="I555"/>
      <c r="J555" s="243"/>
      <c r="K555"/>
      <c r="L555"/>
      <c r="M555"/>
      <c r="N555"/>
      <c r="O555"/>
      <c r="P555"/>
    </row>
    <row r="556" spans="1:16" ht="12" customHeight="1" x14ac:dyDescent="0.2">
      <c r="A556"/>
      <c r="B556"/>
      <c r="C556"/>
      <c r="H556"/>
      <c r="I556"/>
      <c r="J556" s="243"/>
      <c r="K556"/>
      <c r="L556"/>
      <c r="M556"/>
      <c r="N556"/>
      <c r="O556"/>
      <c r="P556"/>
    </row>
    <row r="557" spans="1:16" ht="12" customHeight="1" x14ac:dyDescent="0.2">
      <c r="A557"/>
      <c r="B557"/>
      <c r="C557"/>
      <c r="H557"/>
      <c r="I557"/>
      <c r="J557" s="243"/>
      <c r="K557"/>
      <c r="L557"/>
      <c r="M557"/>
      <c r="N557"/>
      <c r="O557"/>
      <c r="P557"/>
    </row>
    <row r="558" spans="1:16" ht="12" customHeight="1" x14ac:dyDescent="0.2">
      <c r="A558"/>
      <c r="B558"/>
      <c r="C558"/>
      <c r="H558"/>
      <c r="I558"/>
      <c r="J558" s="243"/>
      <c r="K558"/>
      <c r="L558"/>
      <c r="M558"/>
      <c r="N558"/>
      <c r="O558"/>
      <c r="P558"/>
    </row>
    <row r="559" spans="1:16" ht="12" customHeight="1" x14ac:dyDescent="0.2">
      <c r="A559"/>
      <c r="B559"/>
      <c r="C559"/>
      <c r="H559"/>
      <c r="I559"/>
      <c r="J559" s="243"/>
      <c r="K559"/>
      <c r="L559"/>
      <c r="M559"/>
      <c r="N559"/>
      <c r="O559"/>
      <c r="P559"/>
    </row>
    <row r="560" spans="1:16" ht="12" customHeight="1" x14ac:dyDescent="0.2">
      <c r="A560"/>
      <c r="B560"/>
      <c r="C560"/>
      <c r="H560"/>
      <c r="I560"/>
      <c r="J560" s="243"/>
      <c r="K560"/>
      <c r="L560"/>
      <c r="M560"/>
      <c r="N560"/>
      <c r="O560"/>
      <c r="P560"/>
    </row>
    <row r="561" spans="1:16" ht="12" customHeight="1" x14ac:dyDescent="0.2">
      <c r="A561"/>
      <c r="B561"/>
      <c r="C561"/>
      <c r="H561"/>
      <c r="I561"/>
      <c r="J561" s="243"/>
      <c r="K561"/>
      <c r="L561"/>
      <c r="M561"/>
      <c r="N561"/>
      <c r="O561"/>
      <c r="P561"/>
    </row>
    <row r="562" spans="1:16" ht="12" customHeight="1" x14ac:dyDescent="0.2">
      <c r="A562"/>
      <c r="B562"/>
      <c r="C562"/>
      <c r="H562"/>
      <c r="I562"/>
      <c r="J562" s="243"/>
      <c r="K562"/>
      <c r="L562"/>
      <c r="M562"/>
      <c r="N562"/>
      <c r="O562"/>
      <c r="P562"/>
    </row>
    <row r="563" spans="1:16" ht="12" customHeight="1" x14ac:dyDescent="0.2">
      <c r="A563"/>
      <c r="B563"/>
      <c r="C563"/>
      <c r="H563"/>
      <c r="I563"/>
      <c r="J563" s="243"/>
      <c r="K563"/>
      <c r="L563"/>
      <c r="M563"/>
      <c r="N563"/>
      <c r="O563"/>
      <c r="P563"/>
    </row>
    <row r="564" spans="1:16" ht="12" customHeight="1" x14ac:dyDescent="0.2">
      <c r="A564"/>
      <c r="B564"/>
      <c r="C564"/>
      <c r="H564"/>
      <c r="I564"/>
      <c r="J564" s="243"/>
      <c r="K564"/>
      <c r="L564"/>
      <c r="M564"/>
      <c r="N564"/>
      <c r="O564"/>
      <c r="P564"/>
    </row>
    <row r="565" spans="1:16" x14ac:dyDescent="0.2">
      <c r="A565"/>
      <c r="B565"/>
      <c r="C565"/>
      <c r="H565"/>
      <c r="I565"/>
      <c r="J565" s="243"/>
      <c r="K565"/>
      <c r="L565"/>
      <c r="M565"/>
      <c r="N565"/>
      <c r="O565"/>
      <c r="P565"/>
    </row>
    <row r="566" spans="1:16" ht="12" customHeight="1" x14ac:dyDescent="0.2">
      <c r="A566"/>
      <c r="B566"/>
      <c r="C566"/>
      <c r="H566"/>
      <c r="I566"/>
      <c r="J566" s="243"/>
      <c r="K566"/>
      <c r="L566"/>
      <c r="M566"/>
      <c r="N566"/>
      <c r="O566"/>
      <c r="P566"/>
    </row>
    <row r="567" spans="1:16" ht="12" customHeight="1" x14ac:dyDescent="0.2">
      <c r="A567"/>
      <c r="B567"/>
      <c r="C567"/>
      <c r="H567"/>
      <c r="I567"/>
      <c r="J567" s="243"/>
      <c r="K567"/>
      <c r="L567"/>
      <c r="M567"/>
      <c r="N567"/>
      <c r="O567"/>
      <c r="P567"/>
    </row>
    <row r="568" spans="1:16" ht="12" customHeight="1" x14ac:dyDescent="0.2">
      <c r="A568"/>
      <c r="B568"/>
      <c r="C568"/>
      <c r="H568"/>
      <c r="I568"/>
      <c r="J568" s="243"/>
      <c r="K568"/>
      <c r="L568"/>
      <c r="M568"/>
      <c r="N568"/>
      <c r="O568"/>
      <c r="P568"/>
    </row>
    <row r="569" spans="1:16" ht="12" customHeight="1" x14ac:dyDescent="0.2">
      <c r="A569"/>
      <c r="B569"/>
      <c r="C569"/>
      <c r="H569"/>
      <c r="I569"/>
      <c r="J569" s="243"/>
      <c r="K569"/>
      <c r="L569"/>
      <c r="M569"/>
      <c r="N569"/>
      <c r="O569"/>
      <c r="P569"/>
    </row>
    <row r="570" spans="1:16" ht="12" customHeight="1" x14ac:dyDescent="0.2">
      <c r="A570"/>
      <c r="B570"/>
      <c r="C570"/>
      <c r="H570"/>
      <c r="I570"/>
      <c r="J570" s="243"/>
      <c r="K570"/>
      <c r="L570"/>
      <c r="M570"/>
      <c r="N570"/>
      <c r="O570"/>
      <c r="P570"/>
    </row>
    <row r="571" spans="1:16" ht="12" customHeight="1" x14ac:dyDescent="0.2">
      <c r="A571"/>
      <c r="B571"/>
      <c r="C571"/>
      <c r="H571"/>
      <c r="I571"/>
      <c r="J571" s="243"/>
      <c r="K571"/>
      <c r="L571"/>
      <c r="M571"/>
      <c r="N571"/>
      <c r="O571"/>
      <c r="P571"/>
    </row>
    <row r="572" spans="1:16" x14ac:dyDescent="0.2">
      <c r="A572"/>
      <c r="B572"/>
      <c r="C572"/>
      <c r="H572"/>
      <c r="I572"/>
      <c r="J572" s="243"/>
      <c r="K572"/>
      <c r="L572"/>
      <c r="M572"/>
      <c r="N572"/>
      <c r="O572"/>
      <c r="P572"/>
    </row>
    <row r="573" spans="1:16" x14ac:dyDescent="0.2">
      <c r="A573"/>
      <c r="B573"/>
      <c r="C573"/>
      <c r="H573"/>
      <c r="I573"/>
      <c r="J573" s="243"/>
      <c r="K573"/>
      <c r="L573"/>
      <c r="M573"/>
      <c r="N573"/>
      <c r="O573"/>
      <c r="P573"/>
    </row>
    <row r="574" spans="1:16" x14ac:dyDescent="0.2">
      <c r="A574"/>
      <c r="B574"/>
      <c r="C574"/>
      <c r="H574"/>
      <c r="I574"/>
      <c r="J574" s="243"/>
      <c r="K574"/>
      <c r="L574"/>
      <c r="M574"/>
      <c r="N574"/>
      <c r="O574"/>
      <c r="P574"/>
    </row>
    <row r="575" spans="1:16" ht="12" customHeight="1" x14ac:dyDescent="0.2">
      <c r="A575"/>
      <c r="B575"/>
      <c r="C575"/>
      <c r="H575"/>
      <c r="I575"/>
      <c r="J575" s="243"/>
      <c r="K575"/>
      <c r="L575"/>
      <c r="M575"/>
      <c r="N575"/>
      <c r="O575"/>
      <c r="P575"/>
    </row>
    <row r="576" spans="1:16" ht="12" customHeight="1" x14ac:dyDescent="0.2">
      <c r="A576"/>
      <c r="B576"/>
      <c r="C576"/>
      <c r="H576"/>
      <c r="I576"/>
      <c r="J576" s="243"/>
      <c r="K576"/>
      <c r="L576"/>
      <c r="M576"/>
      <c r="N576"/>
      <c r="O576"/>
      <c r="P576"/>
    </row>
    <row r="577" spans="1:16" ht="12" customHeight="1" x14ac:dyDescent="0.2">
      <c r="A577"/>
      <c r="B577"/>
      <c r="C577"/>
      <c r="H577"/>
      <c r="I577"/>
      <c r="J577" s="243"/>
      <c r="K577"/>
      <c r="L577"/>
      <c r="M577"/>
      <c r="N577"/>
      <c r="O577"/>
      <c r="P577"/>
    </row>
    <row r="578" spans="1:16" x14ac:dyDescent="0.2">
      <c r="A578"/>
      <c r="B578"/>
      <c r="C578"/>
      <c r="H578"/>
      <c r="I578"/>
      <c r="J578" s="243"/>
      <c r="K578"/>
      <c r="L578"/>
      <c r="M578"/>
      <c r="N578"/>
      <c r="O578"/>
      <c r="P578"/>
    </row>
    <row r="579" spans="1:16" ht="12" customHeight="1" x14ac:dyDescent="0.2">
      <c r="A579"/>
      <c r="B579"/>
      <c r="C579"/>
      <c r="H579"/>
      <c r="I579"/>
      <c r="J579" s="243"/>
      <c r="K579"/>
      <c r="L579"/>
      <c r="M579"/>
      <c r="N579"/>
      <c r="O579"/>
      <c r="P579"/>
    </row>
    <row r="580" spans="1:16" x14ac:dyDescent="0.2">
      <c r="A580"/>
      <c r="B580"/>
      <c r="C580"/>
      <c r="H580"/>
      <c r="I580"/>
      <c r="J580" s="243"/>
      <c r="K580"/>
      <c r="L580"/>
      <c r="M580"/>
      <c r="N580"/>
      <c r="O580"/>
      <c r="P580"/>
    </row>
    <row r="581" spans="1:16" ht="15" customHeight="1" x14ac:dyDescent="0.2">
      <c r="A581"/>
      <c r="B581"/>
      <c r="C581"/>
      <c r="H581"/>
      <c r="I581"/>
      <c r="J581" s="243"/>
      <c r="K581"/>
      <c r="L581"/>
      <c r="M581"/>
      <c r="N581"/>
      <c r="O581"/>
      <c r="P581"/>
    </row>
    <row r="582" spans="1:16" ht="15" customHeight="1" x14ac:dyDescent="0.2">
      <c r="A582"/>
      <c r="B582"/>
      <c r="C582"/>
      <c r="H582"/>
      <c r="I582"/>
      <c r="J582" s="243"/>
      <c r="K582"/>
      <c r="L582"/>
      <c r="M582"/>
      <c r="N582"/>
      <c r="O582"/>
      <c r="P582"/>
    </row>
    <row r="583" spans="1:16" x14ac:dyDescent="0.2">
      <c r="A583"/>
      <c r="B583"/>
      <c r="C583"/>
      <c r="H583"/>
      <c r="I583"/>
      <c r="J583" s="243"/>
      <c r="K583"/>
      <c r="L583"/>
      <c r="M583"/>
      <c r="N583"/>
      <c r="O583"/>
      <c r="P583"/>
    </row>
    <row r="584" spans="1:16" ht="12" customHeight="1" x14ac:dyDescent="0.2">
      <c r="A584"/>
      <c r="B584"/>
      <c r="C584"/>
      <c r="H584"/>
      <c r="I584"/>
      <c r="J584" s="243"/>
      <c r="K584"/>
      <c r="L584"/>
      <c r="M584"/>
      <c r="N584"/>
      <c r="O584"/>
      <c r="P584"/>
    </row>
    <row r="585" spans="1:16" ht="12" customHeight="1" x14ac:dyDescent="0.2">
      <c r="A585"/>
      <c r="B585"/>
      <c r="C585"/>
      <c r="H585"/>
      <c r="I585"/>
      <c r="J585" s="243"/>
      <c r="K585"/>
      <c r="L585"/>
      <c r="M585"/>
      <c r="N585"/>
      <c r="O585"/>
      <c r="P585"/>
    </row>
    <row r="586" spans="1:16" ht="12" customHeight="1" x14ac:dyDescent="0.2">
      <c r="A586"/>
      <c r="B586"/>
      <c r="C586"/>
      <c r="H586"/>
      <c r="I586"/>
      <c r="J586" s="243"/>
      <c r="K586"/>
      <c r="L586"/>
      <c r="M586"/>
      <c r="N586"/>
      <c r="O586"/>
      <c r="P586"/>
    </row>
    <row r="587" spans="1:16" ht="12" customHeight="1" x14ac:dyDescent="0.2">
      <c r="A587"/>
      <c r="B587"/>
      <c r="C587"/>
      <c r="H587"/>
      <c r="I587"/>
      <c r="J587" s="243"/>
      <c r="K587"/>
      <c r="L587"/>
      <c r="M587"/>
      <c r="N587"/>
      <c r="O587"/>
      <c r="P587"/>
    </row>
    <row r="588" spans="1:16" ht="12" customHeight="1" x14ac:dyDescent="0.2">
      <c r="A588"/>
      <c r="B588"/>
      <c r="C588"/>
      <c r="H588"/>
      <c r="I588"/>
      <c r="J588" s="243"/>
      <c r="K588"/>
      <c r="L588"/>
      <c r="M588"/>
      <c r="N588"/>
      <c r="O588"/>
      <c r="P588"/>
    </row>
    <row r="589" spans="1:16" x14ac:dyDescent="0.2">
      <c r="A589"/>
      <c r="B589"/>
      <c r="C589"/>
      <c r="H589"/>
      <c r="I589"/>
      <c r="J589" s="243"/>
      <c r="K589"/>
      <c r="L589"/>
      <c r="M589"/>
      <c r="N589"/>
      <c r="O589"/>
      <c r="P589"/>
    </row>
    <row r="590" spans="1:16" x14ac:dyDescent="0.2">
      <c r="A590"/>
      <c r="B590"/>
      <c r="C590"/>
      <c r="H590"/>
      <c r="I590"/>
      <c r="J590" s="243"/>
      <c r="K590"/>
      <c r="L590"/>
      <c r="M590"/>
      <c r="N590"/>
      <c r="O590"/>
      <c r="P590"/>
    </row>
    <row r="591" spans="1:16" ht="12" customHeight="1" x14ac:dyDescent="0.2">
      <c r="A591"/>
      <c r="B591"/>
      <c r="C591"/>
      <c r="H591"/>
      <c r="I591"/>
      <c r="J591" s="243"/>
      <c r="K591"/>
      <c r="L591"/>
      <c r="M591"/>
      <c r="N591"/>
      <c r="O591"/>
      <c r="P591"/>
    </row>
    <row r="592" spans="1:16" ht="12" customHeight="1" x14ac:dyDescent="0.2">
      <c r="A592"/>
      <c r="B592"/>
      <c r="C592"/>
      <c r="H592"/>
      <c r="I592"/>
      <c r="J592" s="243"/>
      <c r="K592"/>
      <c r="L592"/>
      <c r="M592"/>
      <c r="N592"/>
      <c r="O592"/>
      <c r="P592"/>
    </row>
    <row r="593" spans="1:16" ht="12" customHeight="1" x14ac:dyDescent="0.2">
      <c r="A593"/>
      <c r="B593"/>
      <c r="C593"/>
      <c r="H593"/>
      <c r="I593"/>
      <c r="J593" s="243"/>
      <c r="K593"/>
      <c r="L593"/>
      <c r="M593"/>
      <c r="N593"/>
      <c r="O593"/>
      <c r="P593"/>
    </row>
    <row r="594" spans="1:16" ht="12" customHeight="1" x14ac:dyDescent="0.2">
      <c r="A594"/>
      <c r="B594"/>
      <c r="C594"/>
      <c r="H594"/>
      <c r="I594"/>
      <c r="J594" s="243"/>
      <c r="K594"/>
      <c r="L594"/>
      <c r="M594"/>
      <c r="N594"/>
      <c r="O594"/>
      <c r="P594"/>
    </row>
    <row r="595" spans="1:16" ht="12" customHeight="1" x14ac:dyDescent="0.2">
      <c r="A595"/>
      <c r="B595"/>
      <c r="C595"/>
      <c r="H595"/>
      <c r="I595"/>
      <c r="J595" s="243"/>
      <c r="K595"/>
      <c r="L595"/>
      <c r="M595"/>
      <c r="N595"/>
      <c r="O595"/>
      <c r="P595"/>
    </row>
    <row r="596" spans="1:16" x14ac:dyDescent="0.2">
      <c r="A596"/>
      <c r="B596"/>
      <c r="C596"/>
      <c r="H596"/>
      <c r="I596"/>
      <c r="J596" s="243"/>
      <c r="K596"/>
      <c r="L596"/>
      <c r="M596"/>
      <c r="N596"/>
      <c r="O596"/>
      <c r="P596"/>
    </row>
    <row r="597" spans="1:16" x14ac:dyDescent="0.2">
      <c r="A597"/>
      <c r="B597"/>
      <c r="C597"/>
      <c r="H597"/>
      <c r="I597"/>
      <c r="J597" s="243"/>
      <c r="K597"/>
      <c r="L597"/>
      <c r="M597"/>
      <c r="N597"/>
      <c r="O597"/>
      <c r="P597"/>
    </row>
    <row r="598" spans="1:16" x14ac:dyDescent="0.2">
      <c r="A598"/>
      <c r="B598"/>
      <c r="C598"/>
      <c r="H598"/>
      <c r="I598"/>
      <c r="J598" s="243"/>
      <c r="K598"/>
      <c r="L598"/>
      <c r="M598"/>
      <c r="N598"/>
      <c r="O598"/>
      <c r="P598"/>
    </row>
    <row r="599" spans="1:16" ht="12" customHeight="1" x14ac:dyDescent="0.2">
      <c r="A599"/>
      <c r="B599"/>
      <c r="C599"/>
      <c r="H599"/>
      <c r="I599"/>
      <c r="J599" s="243"/>
      <c r="K599"/>
      <c r="L599"/>
      <c r="M599"/>
      <c r="N599"/>
      <c r="O599"/>
      <c r="P599"/>
    </row>
    <row r="600" spans="1:16" ht="12" customHeight="1" x14ac:dyDescent="0.2">
      <c r="A600"/>
      <c r="B600"/>
      <c r="C600"/>
      <c r="H600"/>
      <c r="I600"/>
      <c r="J600" s="243"/>
      <c r="K600"/>
      <c r="L600"/>
      <c r="M600"/>
      <c r="N600"/>
      <c r="O600"/>
      <c r="P600"/>
    </row>
    <row r="601" spans="1:16" ht="12" customHeight="1" x14ac:dyDescent="0.2">
      <c r="A601"/>
      <c r="B601"/>
      <c r="C601"/>
      <c r="H601"/>
      <c r="I601"/>
      <c r="J601" s="243"/>
      <c r="K601"/>
      <c r="L601"/>
      <c r="M601"/>
      <c r="N601"/>
      <c r="O601"/>
      <c r="P601"/>
    </row>
    <row r="602" spans="1:16" ht="12" customHeight="1" x14ac:dyDescent="0.2">
      <c r="A602"/>
      <c r="B602"/>
      <c r="C602"/>
      <c r="H602"/>
      <c r="I602"/>
      <c r="J602" s="243"/>
      <c r="K602"/>
      <c r="L602"/>
      <c r="M602"/>
      <c r="N602"/>
      <c r="O602"/>
      <c r="P602"/>
    </row>
    <row r="603" spans="1:16" ht="12" customHeight="1" x14ac:dyDescent="0.2">
      <c r="A603"/>
      <c r="B603"/>
      <c r="C603"/>
      <c r="H603"/>
      <c r="I603"/>
      <c r="J603" s="243"/>
      <c r="K603"/>
      <c r="L603"/>
      <c r="M603"/>
      <c r="N603"/>
      <c r="O603"/>
      <c r="P603"/>
    </row>
    <row r="604" spans="1:16" x14ac:dyDescent="0.2">
      <c r="A604"/>
      <c r="B604"/>
      <c r="C604"/>
      <c r="H604"/>
      <c r="I604"/>
      <c r="J604" s="243"/>
      <c r="K604"/>
      <c r="L604"/>
      <c r="M604"/>
      <c r="N604"/>
      <c r="O604"/>
      <c r="P604"/>
    </row>
    <row r="605" spans="1:16" x14ac:dyDescent="0.2">
      <c r="A605"/>
      <c r="B605"/>
      <c r="C605"/>
      <c r="H605"/>
      <c r="I605"/>
      <c r="J605" s="243"/>
      <c r="K605"/>
      <c r="L605"/>
      <c r="M605"/>
      <c r="N605"/>
      <c r="O605"/>
      <c r="P605"/>
    </row>
    <row r="606" spans="1:16" ht="12" customHeight="1" x14ac:dyDescent="0.2">
      <c r="A606"/>
      <c r="B606"/>
      <c r="C606"/>
      <c r="H606"/>
      <c r="I606"/>
      <c r="J606" s="243"/>
      <c r="K606"/>
      <c r="L606"/>
      <c r="M606"/>
      <c r="N606"/>
      <c r="O606"/>
      <c r="P606"/>
    </row>
    <row r="607" spans="1:16" ht="12" customHeight="1" x14ac:dyDescent="0.2">
      <c r="A607"/>
      <c r="B607"/>
      <c r="C607"/>
      <c r="H607"/>
      <c r="I607"/>
      <c r="J607" s="243"/>
      <c r="K607"/>
      <c r="L607"/>
      <c r="M607"/>
      <c r="N607"/>
      <c r="O607"/>
      <c r="P607"/>
    </row>
    <row r="608" spans="1:16" ht="12" customHeight="1" x14ac:dyDescent="0.2">
      <c r="A608"/>
      <c r="B608"/>
      <c r="C608"/>
      <c r="H608"/>
      <c r="I608"/>
      <c r="J608" s="243"/>
      <c r="K608"/>
      <c r="L608"/>
      <c r="M608"/>
      <c r="N608"/>
      <c r="O608"/>
      <c r="P608"/>
    </row>
    <row r="609" spans="1:16" ht="12" customHeight="1" x14ac:dyDescent="0.2">
      <c r="A609"/>
      <c r="B609"/>
      <c r="C609"/>
      <c r="H609"/>
      <c r="I609"/>
      <c r="J609" s="243"/>
      <c r="K609"/>
      <c r="L609"/>
      <c r="M609"/>
      <c r="N609"/>
      <c r="O609"/>
      <c r="P609"/>
    </row>
    <row r="610" spans="1:16" ht="12" customHeight="1" x14ac:dyDescent="0.2">
      <c r="A610"/>
      <c r="B610"/>
      <c r="C610"/>
      <c r="H610"/>
      <c r="I610"/>
      <c r="J610" s="243"/>
      <c r="K610"/>
      <c r="L610"/>
      <c r="M610"/>
      <c r="N610"/>
      <c r="O610"/>
      <c r="P610"/>
    </row>
    <row r="611" spans="1:16" x14ac:dyDescent="0.2">
      <c r="A611"/>
      <c r="B611"/>
      <c r="C611"/>
      <c r="H611"/>
      <c r="I611"/>
      <c r="J611" s="243"/>
      <c r="K611"/>
      <c r="L611"/>
      <c r="M611"/>
      <c r="N611"/>
      <c r="O611"/>
      <c r="P611"/>
    </row>
    <row r="612" spans="1:16" x14ac:dyDescent="0.2">
      <c r="A612"/>
      <c r="B612"/>
      <c r="C612"/>
      <c r="H612"/>
      <c r="I612"/>
      <c r="J612" s="243"/>
      <c r="K612"/>
      <c r="L612"/>
      <c r="M612"/>
      <c r="N612"/>
      <c r="O612"/>
      <c r="P612"/>
    </row>
    <row r="613" spans="1:16" ht="12" customHeight="1" x14ac:dyDescent="0.2">
      <c r="A613"/>
      <c r="B613"/>
      <c r="C613"/>
      <c r="H613"/>
      <c r="I613"/>
      <c r="J613" s="243"/>
      <c r="K613"/>
      <c r="L613"/>
      <c r="M613"/>
      <c r="N613"/>
      <c r="O613"/>
      <c r="P613"/>
    </row>
    <row r="614" spans="1:16" ht="12" customHeight="1" x14ac:dyDescent="0.2">
      <c r="A614"/>
      <c r="B614"/>
      <c r="C614"/>
      <c r="H614"/>
      <c r="I614"/>
      <c r="J614" s="243"/>
      <c r="K614"/>
      <c r="L614"/>
      <c r="M614"/>
      <c r="N614"/>
      <c r="O614"/>
      <c r="P614"/>
    </row>
    <row r="615" spans="1:16" ht="12" customHeight="1" x14ac:dyDescent="0.2">
      <c r="A615"/>
      <c r="B615"/>
      <c r="C615"/>
      <c r="H615"/>
      <c r="I615"/>
      <c r="J615" s="243"/>
      <c r="K615"/>
      <c r="L615"/>
      <c r="M615"/>
      <c r="N615"/>
      <c r="O615"/>
      <c r="P615"/>
    </row>
    <row r="616" spans="1:16" ht="12" customHeight="1" x14ac:dyDescent="0.2">
      <c r="A616"/>
      <c r="B616"/>
      <c r="C616"/>
      <c r="H616"/>
      <c r="I616"/>
      <c r="J616" s="243"/>
      <c r="K616"/>
      <c r="L616"/>
      <c r="M616"/>
      <c r="N616"/>
      <c r="O616"/>
      <c r="P616"/>
    </row>
    <row r="617" spans="1:16" ht="12" customHeight="1" x14ac:dyDescent="0.2">
      <c r="A617"/>
      <c r="B617"/>
      <c r="C617"/>
      <c r="H617"/>
      <c r="I617"/>
      <c r="J617" s="243"/>
      <c r="K617"/>
      <c r="L617"/>
      <c r="M617"/>
      <c r="N617"/>
      <c r="O617"/>
      <c r="P617"/>
    </row>
    <row r="618" spans="1:16" x14ac:dyDescent="0.2">
      <c r="A618"/>
      <c r="B618"/>
      <c r="C618"/>
      <c r="H618"/>
      <c r="I618"/>
      <c r="J618" s="243"/>
      <c r="K618"/>
      <c r="L618"/>
      <c r="M618"/>
      <c r="N618"/>
      <c r="O618"/>
      <c r="P618"/>
    </row>
    <row r="619" spans="1:16" x14ac:dyDescent="0.2">
      <c r="A619"/>
      <c r="B619"/>
      <c r="C619"/>
      <c r="H619"/>
      <c r="I619"/>
      <c r="J619" s="243"/>
      <c r="K619"/>
      <c r="L619"/>
      <c r="M619"/>
      <c r="N619"/>
      <c r="O619"/>
      <c r="P619"/>
    </row>
    <row r="620" spans="1:16" x14ac:dyDescent="0.2">
      <c r="A620"/>
      <c r="B620"/>
      <c r="C620"/>
      <c r="H620"/>
      <c r="I620"/>
      <c r="J620" s="243"/>
      <c r="K620"/>
      <c r="L620"/>
      <c r="M620"/>
      <c r="N620"/>
      <c r="O620"/>
      <c r="P620"/>
    </row>
    <row r="621" spans="1:16" x14ac:dyDescent="0.2">
      <c r="A621"/>
      <c r="B621"/>
      <c r="C621"/>
      <c r="H621"/>
      <c r="I621"/>
      <c r="J621" s="243"/>
      <c r="K621"/>
      <c r="L621"/>
      <c r="M621"/>
      <c r="N621"/>
      <c r="O621"/>
      <c r="P621"/>
    </row>
    <row r="622" spans="1:16" ht="12" customHeight="1" x14ac:dyDescent="0.2">
      <c r="A622"/>
      <c r="B622"/>
      <c r="C622"/>
      <c r="H622"/>
      <c r="I622"/>
      <c r="J622" s="243"/>
      <c r="K622"/>
      <c r="L622"/>
      <c r="M622"/>
      <c r="N622"/>
      <c r="O622"/>
      <c r="P622"/>
    </row>
    <row r="623" spans="1:16" ht="12" customHeight="1" x14ac:dyDescent="0.2">
      <c r="A623"/>
      <c r="B623"/>
      <c r="C623"/>
      <c r="H623"/>
      <c r="I623"/>
      <c r="J623" s="243"/>
      <c r="K623"/>
      <c r="L623"/>
      <c r="M623"/>
      <c r="N623"/>
      <c r="O623"/>
      <c r="P623"/>
    </row>
    <row r="624" spans="1:16" ht="12" customHeight="1" x14ac:dyDescent="0.2">
      <c r="A624"/>
      <c r="B624"/>
      <c r="C624"/>
      <c r="H624"/>
      <c r="I624"/>
      <c r="J624" s="243"/>
      <c r="K624"/>
      <c r="L624"/>
      <c r="M624"/>
      <c r="N624"/>
      <c r="O624"/>
      <c r="P624"/>
    </row>
    <row r="625" spans="1:16" ht="12" customHeight="1" x14ac:dyDescent="0.2">
      <c r="A625"/>
      <c r="B625"/>
      <c r="C625"/>
      <c r="H625"/>
      <c r="I625"/>
      <c r="J625" s="243"/>
      <c r="K625"/>
      <c r="L625"/>
      <c r="M625"/>
      <c r="N625"/>
      <c r="O625"/>
      <c r="P625"/>
    </row>
    <row r="626" spans="1:16" ht="12" customHeight="1" x14ac:dyDescent="0.2">
      <c r="A626"/>
      <c r="B626"/>
      <c r="C626"/>
      <c r="H626"/>
      <c r="I626"/>
      <c r="J626" s="243"/>
      <c r="K626"/>
      <c r="L626"/>
      <c r="M626"/>
      <c r="N626"/>
      <c r="O626"/>
      <c r="P626"/>
    </row>
    <row r="627" spans="1:16" x14ac:dyDescent="0.2">
      <c r="A627"/>
      <c r="B627"/>
      <c r="C627"/>
      <c r="H627"/>
      <c r="I627"/>
      <c r="J627" s="243"/>
      <c r="K627"/>
      <c r="L627"/>
      <c r="M627"/>
      <c r="N627"/>
      <c r="O627"/>
      <c r="P627"/>
    </row>
    <row r="628" spans="1:16" x14ac:dyDescent="0.2">
      <c r="A628"/>
      <c r="B628"/>
      <c r="C628"/>
      <c r="H628"/>
      <c r="I628"/>
      <c r="J628" s="243"/>
      <c r="K628"/>
      <c r="L628"/>
      <c r="M628"/>
      <c r="N628"/>
      <c r="O628"/>
      <c r="P628"/>
    </row>
    <row r="629" spans="1:16" x14ac:dyDescent="0.2">
      <c r="A629"/>
      <c r="B629"/>
      <c r="C629"/>
      <c r="H629"/>
      <c r="I629"/>
      <c r="J629" s="243"/>
      <c r="K629"/>
      <c r="L629"/>
      <c r="M629"/>
      <c r="N629"/>
      <c r="O629"/>
      <c r="P629"/>
    </row>
    <row r="630" spans="1:16" ht="12" customHeight="1" x14ac:dyDescent="0.2">
      <c r="A630"/>
      <c r="B630"/>
      <c r="C630"/>
      <c r="H630"/>
      <c r="I630"/>
      <c r="J630" s="243"/>
      <c r="K630"/>
      <c r="L630"/>
      <c r="M630"/>
      <c r="N630"/>
      <c r="O630"/>
      <c r="P630"/>
    </row>
    <row r="631" spans="1:16" ht="12" customHeight="1" x14ac:dyDescent="0.2">
      <c r="A631"/>
      <c r="B631"/>
      <c r="C631"/>
      <c r="H631"/>
      <c r="I631"/>
      <c r="J631" s="243"/>
      <c r="K631"/>
      <c r="L631"/>
      <c r="M631"/>
      <c r="N631"/>
      <c r="O631"/>
      <c r="P631"/>
    </row>
    <row r="632" spans="1:16" ht="12" customHeight="1" x14ac:dyDescent="0.2">
      <c r="A632"/>
      <c r="B632"/>
      <c r="C632"/>
      <c r="H632"/>
      <c r="I632"/>
      <c r="J632" s="243"/>
      <c r="K632"/>
      <c r="L632"/>
      <c r="M632"/>
      <c r="N632"/>
      <c r="O632"/>
      <c r="P632"/>
    </row>
    <row r="633" spans="1:16" ht="12" customHeight="1" x14ac:dyDescent="0.2">
      <c r="A633"/>
      <c r="B633"/>
      <c r="C633"/>
      <c r="H633"/>
      <c r="I633"/>
      <c r="J633" s="243"/>
      <c r="K633"/>
      <c r="L633"/>
      <c r="M633"/>
      <c r="N633"/>
      <c r="O633"/>
      <c r="P633"/>
    </row>
    <row r="634" spans="1:16" ht="12" customHeight="1" x14ac:dyDescent="0.2">
      <c r="A634"/>
      <c r="B634"/>
      <c r="C634"/>
      <c r="H634"/>
      <c r="I634"/>
      <c r="J634" s="243"/>
      <c r="K634"/>
      <c r="L634"/>
      <c r="M634"/>
      <c r="N634"/>
      <c r="O634"/>
      <c r="P634"/>
    </row>
    <row r="635" spans="1:16" ht="12" customHeight="1" x14ac:dyDescent="0.2">
      <c r="A635"/>
      <c r="B635"/>
      <c r="C635"/>
      <c r="H635"/>
      <c r="I635"/>
      <c r="J635" s="243"/>
      <c r="K635"/>
      <c r="L635"/>
      <c r="M635"/>
      <c r="N635"/>
      <c r="O635"/>
      <c r="P635"/>
    </row>
    <row r="636" spans="1:16" x14ac:dyDescent="0.2">
      <c r="A636"/>
      <c r="B636"/>
      <c r="C636"/>
      <c r="H636"/>
      <c r="I636"/>
      <c r="J636" s="243"/>
      <c r="K636"/>
      <c r="L636"/>
      <c r="M636"/>
      <c r="N636"/>
      <c r="O636"/>
      <c r="P636"/>
    </row>
    <row r="637" spans="1:16" x14ac:dyDescent="0.2">
      <c r="A637"/>
      <c r="B637"/>
      <c r="C637"/>
      <c r="H637"/>
      <c r="I637"/>
      <c r="J637" s="243"/>
      <c r="K637"/>
      <c r="L637"/>
      <c r="M637"/>
      <c r="N637"/>
      <c r="O637"/>
      <c r="P637"/>
    </row>
    <row r="638" spans="1:16" x14ac:dyDescent="0.2">
      <c r="A638"/>
      <c r="B638"/>
      <c r="C638"/>
      <c r="H638"/>
      <c r="I638"/>
      <c r="J638" s="243"/>
      <c r="K638"/>
      <c r="L638"/>
      <c r="M638"/>
      <c r="N638"/>
      <c r="O638"/>
      <c r="P638"/>
    </row>
    <row r="639" spans="1:16" ht="12" customHeight="1" x14ac:dyDescent="0.2">
      <c r="A639"/>
      <c r="B639"/>
      <c r="C639"/>
      <c r="H639"/>
      <c r="I639"/>
      <c r="J639" s="243"/>
      <c r="K639"/>
      <c r="L639"/>
      <c r="M639"/>
      <c r="N639"/>
      <c r="O639"/>
      <c r="P639"/>
    </row>
    <row r="640" spans="1:16" ht="12" customHeight="1" x14ac:dyDescent="0.2">
      <c r="A640"/>
      <c r="B640"/>
      <c r="C640"/>
      <c r="H640"/>
      <c r="I640"/>
      <c r="J640" s="243"/>
      <c r="K640"/>
      <c r="L640"/>
      <c r="M640"/>
      <c r="N640"/>
      <c r="O640"/>
      <c r="P640"/>
    </row>
    <row r="641" spans="1:16" ht="12" customHeight="1" x14ac:dyDescent="0.2">
      <c r="A641"/>
      <c r="B641"/>
      <c r="C641"/>
      <c r="H641"/>
      <c r="I641"/>
      <c r="J641" s="243"/>
      <c r="K641"/>
      <c r="L641"/>
      <c r="M641"/>
      <c r="N641"/>
      <c r="O641"/>
      <c r="P641"/>
    </row>
    <row r="642" spans="1:16" ht="12" customHeight="1" x14ac:dyDescent="0.2">
      <c r="A642"/>
      <c r="B642"/>
      <c r="C642"/>
      <c r="H642"/>
      <c r="I642"/>
      <c r="J642" s="243"/>
      <c r="K642"/>
      <c r="L642"/>
      <c r="M642"/>
      <c r="N642"/>
      <c r="O642"/>
      <c r="P642"/>
    </row>
    <row r="643" spans="1:16" ht="12" customHeight="1" x14ac:dyDescent="0.2">
      <c r="A643"/>
      <c r="B643"/>
      <c r="C643"/>
      <c r="H643"/>
      <c r="I643"/>
      <c r="J643" s="243"/>
      <c r="K643"/>
      <c r="L643"/>
      <c r="M643"/>
      <c r="N643"/>
      <c r="O643"/>
      <c r="P643"/>
    </row>
    <row r="644" spans="1:16" x14ac:dyDescent="0.2">
      <c r="A644"/>
      <c r="B644"/>
      <c r="C644"/>
      <c r="H644"/>
      <c r="I644"/>
      <c r="J644" s="243"/>
      <c r="K644"/>
      <c r="L644"/>
      <c r="M644"/>
      <c r="N644"/>
      <c r="O644"/>
      <c r="P644"/>
    </row>
    <row r="645" spans="1:16" x14ac:dyDescent="0.2">
      <c r="A645"/>
      <c r="B645"/>
      <c r="C645"/>
      <c r="H645"/>
      <c r="I645"/>
      <c r="J645" s="243"/>
      <c r="K645"/>
      <c r="L645"/>
      <c r="M645"/>
      <c r="N645"/>
      <c r="O645"/>
      <c r="P645"/>
    </row>
    <row r="646" spans="1:16" x14ac:dyDescent="0.2">
      <c r="A646"/>
      <c r="B646"/>
      <c r="C646"/>
      <c r="H646"/>
      <c r="I646"/>
      <c r="J646" s="243"/>
      <c r="K646"/>
      <c r="L646"/>
      <c r="M646"/>
      <c r="N646"/>
      <c r="O646"/>
      <c r="P646"/>
    </row>
    <row r="647" spans="1:16" ht="12" customHeight="1" x14ac:dyDescent="0.2">
      <c r="A647"/>
      <c r="B647"/>
      <c r="C647"/>
      <c r="H647"/>
      <c r="I647"/>
      <c r="J647" s="243"/>
      <c r="K647"/>
      <c r="L647"/>
      <c r="M647"/>
      <c r="N647"/>
      <c r="O647"/>
      <c r="P647"/>
    </row>
    <row r="648" spans="1:16" ht="12" customHeight="1" x14ac:dyDescent="0.2">
      <c r="A648"/>
      <c r="B648"/>
      <c r="C648"/>
      <c r="H648"/>
      <c r="I648"/>
      <c r="J648" s="243"/>
      <c r="K648"/>
      <c r="L648"/>
      <c r="M648"/>
      <c r="N648"/>
      <c r="O648"/>
      <c r="P648"/>
    </row>
    <row r="649" spans="1:16" ht="12" customHeight="1" x14ac:dyDescent="0.2">
      <c r="A649"/>
      <c r="B649"/>
      <c r="C649"/>
      <c r="H649"/>
      <c r="I649"/>
      <c r="J649" s="243"/>
      <c r="K649"/>
      <c r="L649"/>
      <c r="M649"/>
      <c r="N649"/>
      <c r="O649"/>
      <c r="P649"/>
    </row>
    <row r="650" spans="1:16" ht="12" customHeight="1" x14ac:dyDescent="0.2">
      <c r="A650"/>
      <c r="B650"/>
      <c r="C650"/>
      <c r="H650"/>
      <c r="I650"/>
      <c r="J650" s="243"/>
      <c r="K650"/>
      <c r="L650"/>
      <c r="M650"/>
      <c r="N650"/>
      <c r="O650"/>
      <c r="P650"/>
    </row>
    <row r="651" spans="1:16" ht="12" customHeight="1" x14ac:dyDescent="0.2">
      <c r="A651"/>
      <c r="B651"/>
      <c r="C651"/>
      <c r="H651"/>
      <c r="I651"/>
      <c r="J651" s="243"/>
      <c r="K651"/>
      <c r="L651"/>
      <c r="M651"/>
      <c r="N651"/>
      <c r="O651"/>
      <c r="P651"/>
    </row>
    <row r="652" spans="1:16" x14ac:dyDescent="0.2">
      <c r="A652"/>
      <c r="B652"/>
      <c r="C652"/>
      <c r="H652"/>
      <c r="I652"/>
      <c r="J652" s="243"/>
      <c r="K652"/>
      <c r="L652"/>
      <c r="M652"/>
      <c r="N652"/>
      <c r="O652"/>
      <c r="P652"/>
    </row>
    <row r="653" spans="1:16" x14ac:dyDescent="0.2">
      <c r="A653"/>
      <c r="B653"/>
      <c r="C653"/>
      <c r="H653"/>
      <c r="I653"/>
      <c r="J653" s="243"/>
      <c r="K653"/>
      <c r="L653"/>
      <c r="M653"/>
      <c r="N653"/>
      <c r="O653"/>
      <c r="P653"/>
    </row>
    <row r="654" spans="1:16" x14ac:dyDescent="0.2">
      <c r="A654"/>
      <c r="B654"/>
      <c r="C654"/>
      <c r="H654"/>
      <c r="I654"/>
      <c r="J654" s="243"/>
      <c r="K654"/>
      <c r="L654"/>
      <c r="M654"/>
      <c r="N654"/>
      <c r="O654"/>
      <c r="P654"/>
    </row>
    <row r="655" spans="1:16" ht="12" customHeight="1" x14ac:dyDescent="0.2">
      <c r="A655"/>
      <c r="B655"/>
      <c r="C655"/>
      <c r="H655"/>
      <c r="I655"/>
      <c r="J655" s="243"/>
      <c r="K655"/>
      <c r="L655"/>
      <c r="M655"/>
      <c r="N655"/>
      <c r="O655"/>
      <c r="P655"/>
    </row>
    <row r="656" spans="1:16" ht="12" customHeight="1" x14ac:dyDescent="0.2">
      <c r="A656"/>
      <c r="B656"/>
      <c r="C656"/>
      <c r="H656"/>
      <c r="I656"/>
      <c r="J656" s="243"/>
      <c r="K656"/>
      <c r="L656"/>
      <c r="M656"/>
      <c r="N656"/>
      <c r="O656"/>
      <c r="P656"/>
    </row>
    <row r="657" spans="1:16" ht="12" customHeight="1" x14ac:dyDescent="0.2">
      <c r="A657"/>
      <c r="B657"/>
      <c r="C657"/>
      <c r="H657"/>
      <c r="I657"/>
      <c r="J657" s="243"/>
      <c r="K657"/>
      <c r="L657"/>
      <c r="M657"/>
      <c r="N657"/>
      <c r="O657"/>
      <c r="P657"/>
    </row>
    <row r="658" spans="1:16" ht="12" customHeight="1" x14ac:dyDescent="0.2">
      <c r="A658"/>
      <c r="B658"/>
      <c r="C658"/>
      <c r="H658"/>
      <c r="I658"/>
      <c r="J658" s="243"/>
      <c r="K658"/>
      <c r="L658"/>
      <c r="M658"/>
      <c r="N658"/>
      <c r="O658"/>
      <c r="P658"/>
    </row>
    <row r="659" spans="1:16" ht="12" customHeight="1" x14ac:dyDescent="0.2">
      <c r="A659"/>
      <c r="B659"/>
      <c r="C659"/>
      <c r="H659"/>
      <c r="I659"/>
      <c r="J659" s="243"/>
      <c r="K659"/>
      <c r="L659"/>
      <c r="M659"/>
      <c r="N659"/>
      <c r="O659"/>
      <c r="P659"/>
    </row>
    <row r="660" spans="1:16" x14ac:dyDescent="0.2">
      <c r="A660"/>
      <c r="B660"/>
      <c r="C660"/>
      <c r="H660"/>
      <c r="I660"/>
      <c r="J660" s="243"/>
      <c r="K660"/>
      <c r="L660"/>
      <c r="M660"/>
      <c r="N660"/>
      <c r="O660"/>
      <c r="P660"/>
    </row>
    <row r="661" spans="1:16" x14ac:dyDescent="0.2">
      <c r="A661"/>
      <c r="B661"/>
      <c r="C661"/>
      <c r="H661"/>
      <c r="I661"/>
      <c r="J661" s="243"/>
      <c r="K661"/>
      <c r="L661"/>
      <c r="M661"/>
      <c r="N661"/>
      <c r="O661"/>
      <c r="P661"/>
    </row>
    <row r="662" spans="1:16" x14ac:dyDescent="0.2">
      <c r="A662"/>
      <c r="B662"/>
      <c r="C662"/>
      <c r="H662"/>
      <c r="I662"/>
      <c r="J662" s="243"/>
      <c r="K662"/>
      <c r="L662"/>
      <c r="M662"/>
      <c r="N662"/>
      <c r="O662"/>
      <c r="P662"/>
    </row>
    <row r="663" spans="1:16" ht="12" customHeight="1" x14ac:dyDescent="0.2">
      <c r="A663"/>
      <c r="B663"/>
      <c r="C663"/>
      <c r="H663"/>
      <c r="I663"/>
      <c r="J663" s="243"/>
      <c r="K663"/>
      <c r="L663"/>
      <c r="M663"/>
      <c r="N663"/>
      <c r="O663"/>
      <c r="P663"/>
    </row>
    <row r="664" spans="1:16" ht="12" customHeight="1" x14ac:dyDescent="0.2">
      <c r="A664"/>
      <c r="B664"/>
      <c r="C664"/>
      <c r="H664"/>
      <c r="I664"/>
      <c r="J664" s="243"/>
      <c r="K664"/>
      <c r="L664"/>
      <c r="M664"/>
      <c r="N664"/>
      <c r="O664"/>
      <c r="P664"/>
    </row>
    <row r="665" spans="1:16" ht="12" customHeight="1" x14ac:dyDescent="0.2">
      <c r="A665"/>
      <c r="B665"/>
      <c r="C665"/>
      <c r="H665"/>
      <c r="I665"/>
      <c r="J665" s="243"/>
      <c r="K665"/>
      <c r="L665"/>
      <c r="M665"/>
      <c r="N665"/>
      <c r="O665"/>
      <c r="P665"/>
    </row>
    <row r="666" spans="1:16" ht="12" customHeight="1" x14ac:dyDescent="0.2">
      <c r="A666"/>
      <c r="B666"/>
      <c r="C666"/>
      <c r="H666"/>
      <c r="I666"/>
      <c r="J666" s="243"/>
      <c r="K666"/>
      <c r="L666"/>
      <c r="M666"/>
      <c r="N666"/>
      <c r="O666"/>
      <c r="P666"/>
    </row>
    <row r="667" spans="1:16" ht="12" customHeight="1" x14ac:dyDescent="0.2">
      <c r="A667"/>
      <c r="B667"/>
      <c r="C667"/>
      <c r="H667"/>
      <c r="I667"/>
      <c r="J667" s="243"/>
      <c r="K667"/>
      <c r="L667"/>
      <c r="M667"/>
      <c r="N667"/>
      <c r="O667"/>
      <c r="P667"/>
    </row>
    <row r="668" spans="1:16" x14ac:dyDescent="0.2">
      <c r="A668"/>
      <c r="B668"/>
      <c r="C668"/>
      <c r="H668"/>
      <c r="I668"/>
      <c r="J668" s="243"/>
      <c r="K668"/>
      <c r="L668"/>
      <c r="M668"/>
      <c r="N668"/>
      <c r="O668"/>
      <c r="P668"/>
    </row>
    <row r="669" spans="1:16" x14ac:dyDescent="0.2">
      <c r="A669"/>
      <c r="B669"/>
      <c r="C669"/>
      <c r="H669"/>
      <c r="I669"/>
      <c r="J669" s="243"/>
      <c r="K669"/>
      <c r="L669"/>
      <c r="M669"/>
      <c r="N669"/>
      <c r="O669"/>
      <c r="P669"/>
    </row>
    <row r="670" spans="1:16" x14ac:dyDescent="0.2">
      <c r="A670"/>
      <c r="B670"/>
      <c r="C670"/>
      <c r="H670"/>
      <c r="I670"/>
      <c r="J670" s="243"/>
      <c r="K670"/>
      <c r="L670"/>
      <c r="M670"/>
      <c r="N670"/>
      <c r="O670"/>
      <c r="P670"/>
    </row>
    <row r="671" spans="1:16" x14ac:dyDescent="0.2">
      <c r="A671"/>
      <c r="B671"/>
      <c r="C671"/>
      <c r="H671"/>
      <c r="I671"/>
      <c r="J671" s="243"/>
      <c r="K671"/>
      <c r="L671"/>
      <c r="M671"/>
      <c r="N671"/>
      <c r="O671"/>
      <c r="P671"/>
    </row>
    <row r="672" spans="1:16" x14ac:dyDescent="0.2">
      <c r="A672"/>
      <c r="B672"/>
      <c r="C672"/>
      <c r="H672"/>
      <c r="I672"/>
      <c r="J672" s="243"/>
      <c r="K672"/>
      <c r="L672"/>
      <c r="M672"/>
      <c r="N672"/>
      <c r="O672"/>
      <c r="P672"/>
    </row>
    <row r="673" spans="1:16" x14ac:dyDescent="0.2">
      <c r="A673"/>
      <c r="B673"/>
      <c r="C673"/>
      <c r="H673"/>
      <c r="I673"/>
      <c r="J673" s="243"/>
      <c r="K673"/>
      <c r="L673"/>
      <c r="M673"/>
      <c r="N673"/>
      <c r="O673"/>
      <c r="P673"/>
    </row>
    <row r="674" spans="1:16" x14ac:dyDescent="0.2">
      <c r="A674"/>
      <c r="B674"/>
      <c r="C674"/>
      <c r="H674"/>
      <c r="I674"/>
      <c r="J674" s="243"/>
      <c r="K674"/>
      <c r="L674"/>
      <c r="M674"/>
      <c r="N674"/>
      <c r="O674"/>
      <c r="P674"/>
    </row>
    <row r="675" spans="1:16" x14ac:dyDescent="0.2">
      <c r="A675"/>
      <c r="B675"/>
      <c r="C675"/>
      <c r="H675"/>
      <c r="I675"/>
      <c r="J675" s="243"/>
      <c r="K675"/>
      <c r="L675"/>
      <c r="M675"/>
      <c r="N675"/>
      <c r="O675"/>
      <c r="P675"/>
    </row>
    <row r="676" spans="1:16" x14ac:dyDescent="0.2">
      <c r="A676"/>
      <c r="B676"/>
      <c r="C676"/>
      <c r="H676"/>
      <c r="I676"/>
      <c r="J676" s="243"/>
      <c r="K676"/>
      <c r="L676"/>
      <c r="M676"/>
      <c r="N676"/>
      <c r="O676"/>
      <c r="P676"/>
    </row>
    <row r="677" spans="1:16" x14ac:dyDescent="0.2">
      <c r="A677"/>
      <c r="B677"/>
      <c r="C677"/>
      <c r="H677"/>
      <c r="I677"/>
      <c r="J677" s="243"/>
      <c r="K677"/>
      <c r="L677"/>
      <c r="M677"/>
      <c r="N677"/>
      <c r="O677"/>
      <c r="P677"/>
    </row>
    <row r="678" spans="1:16" x14ac:dyDescent="0.2">
      <c r="A678"/>
      <c r="B678"/>
      <c r="C678"/>
      <c r="H678"/>
      <c r="I678"/>
      <c r="J678" s="243"/>
      <c r="K678"/>
      <c r="L678"/>
      <c r="M678"/>
      <c r="N678"/>
      <c r="O678"/>
      <c r="P678"/>
    </row>
    <row r="679" spans="1:16" ht="12" customHeight="1" x14ac:dyDescent="0.2">
      <c r="A679"/>
      <c r="B679"/>
      <c r="C679"/>
      <c r="H679"/>
      <c r="I679"/>
      <c r="J679" s="243"/>
      <c r="K679"/>
      <c r="L679"/>
      <c r="M679"/>
      <c r="N679"/>
      <c r="O679"/>
      <c r="P679"/>
    </row>
    <row r="680" spans="1:16" ht="12" customHeight="1" x14ac:dyDescent="0.2">
      <c r="A680"/>
      <c r="B680"/>
      <c r="C680"/>
      <c r="H680"/>
      <c r="I680"/>
      <c r="J680" s="243"/>
      <c r="K680"/>
      <c r="L680"/>
      <c r="M680"/>
      <c r="N680"/>
      <c r="O680"/>
      <c r="P680"/>
    </row>
    <row r="681" spans="1:16" ht="12" customHeight="1" x14ac:dyDescent="0.2">
      <c r="A681"/>
      <c r="B681"/>
      <c r="C681"/>
      <c r="H681"/>
      <c r="I681"/>
      <c r="J681" s="243"/>
      <c r="K681"/>
      <c r="L681"/>
      <c r="M681"/>
      <c r="N681"/>
      <c r="O681"/>
      <c r="P681"/>
    </row>
    <row r="682" spans="1:16" ht="12" customHeight="1" x14ac:dyDescent="0.2">
      <c r="A682"/>
      <c r="B682"/>
      <c r="C682"/>
      <c r="H682"/>
      <c r="I682"/>
      <c r="J682" s="243"/>
      <c r="K682"/>
      <c r="L682"/>
      <c r="M682"/>
      <c r="N682"/>
      <c r="O682"/>
      <c r="P682"/>
    </row>
    <row r="683" spans="1:16" ht="12" customHeight="1" x14ac:dyDescent="0.2">
      <c r="A683"/>
      <c r="B683"/>
      <c r="C683"/>
      <c r="H683"/>
      <c r="I683"/>
      <c r="J683" s="243"/>
      <c r="K683"/>
      <c r="L683"/>
      <c r="M683"/>
      <c r="N683"/>
      <c r="O683"/>
      <c r="P683"/>
    </row>
    <row r="684" spans="1:16" x14ac:dyDescent="0.2">
      <c r="A684"/>
      <c r="B684"/>
      <c r="C684"/>
      <c r="H684"/>
      <c r="I684"/>
      <c r="J684" s="243"/>
      <c r="K684"/>
      <c r="L684"/>
      <c r="M684"/>
      <c r="N684"/>
      <c r="O684"/>
      <c r="P684"/>
    </row>
    <row r="685" spans="1:16" x14ac:dyDescent="0.2">
      <c r="A685"/>
      <c r="B685"/>
      <c r="C685"/>
      <c r="H685"/>
      <c r="I685"/>
      <c r="J685" s="243"/>
      <c r="K685"/>
      <c r="L685"/>
      <c r="M685"/>
      <c r="N685"/>
      <c r="O685"/>
      <c r="P685"/>
    </row>
    <row r="686" spans="1:16" x14ac:dyDescent="0.2">
      <c r="A686"/>
      <c r="B686"/>
      <c r="C686"/>
      <c r="H686"/>
      <c r="I686"/>
      <c r="J686" s="243"/>
      <c r="K686"/>
      <c r="L686"/>
      <c r="M686"/>
      <c r="N686"/>
      <c r="O686"/>
      <c r="P686"/>
    </row>
    <row r="687" spans="1:16" ht="12" customHeight="1" x14ac:dyDescent="0.2">
      <c r="A687"/>
      <c r="B687"/>
      <c r="C687"/>
      <c r="H687"/>
      <c r="I687"/>
      <c r="J687" s="243"/>
      <c r="K687"/>
      <c r="L687"/>
      <c r="M687"/>
      <c r="N687"/>
      <c r="O687"/>
      <c r="P687"/>
    </row>
    <row r="688" spans="1:16" ht="12" customHeight="1" x14ac:dyDescent="0.2">
      <c r="A688"/>
      <c r="B688"/>
      <c r="C688"/>
      <c r="H688"/>
      <c r="I688"/>
      <c r="J688" s="243"/>
      <c r="K688"/>
      <c r="L688"/>
      <c r="M688"/>
      <c r="N688"/>
      <c r="O688"/>
      <c r="P688"/>
    </row>
    <row r="689" spans="1:16" ht="12" customHeight="1" x14ac:dyDescent="0.2">
      <c r="A689"/>
      <c r="B689"/>
      <c r="C689"/>
      <c r="H689"/>
      <c r="I689"/>
      <c r="J689" s="243"/>
      <c r="K689"/>
      <c r="L689"/>
      <c r="M689"/>
      <c r="N689"/>
      <c r="O689"/>
      <c r="P689"/>
    </row>
    <row r="690" spans="1:16" ht="12" customHeight="1" x14ac:dyDescent="0.2">
      <c r="A690"/>
      <c r="B690"/>
      <c r="C690"/>
      <c r="H690"/>
      <c r="I690"/>
      <c r="J690" s="243"/>
      <c r="K690"/>
      <c r="L690"/>
      <c r="M690"/>
      <c r="N690"/>
      <c r="O690"/>
      <c r="P690"/>
    </row>
    <row r="691" spans="1:16" ht="12" customHeight="1" x14ac:dyDescent="0.2">
      <c r="A691"/>
      <c r="B691"/>
      <c r="C691"/>
      <c r="H691"/>
      <c r="I691"/>
      <c r="J691" s="243"/>
      <c r="K691"/>
      <c r="L691"/>
      <c r="M691"/>
      <c r="N691"/>
      <c r="O691"/>
      <c r="P691"/>
    </row>
    <row r="692" spans="1:16" ht="12" customHeight="1" x14ac:dyDescent="0.2">
      <c r="A692"/>
      <c r="B692"/>
      <c r="C692"/>
      <c r="H692"/>
      <c r="I692"/>
      <c r="J692" s="243"/>
      <c r="K692"/>
      <c r="L692"/>
      <c r="M692"/>
      <c r="N692"/>
      <c r="O692"/>
      <c r="P692"/>
    </row>
    <row r="693" spans="1:16" ht="15" customHeight="1" x14ac:dyDescent="0.2">
      <c r="A693"/>
      <c r="B693"/>
      <c r="C693"/>
      <c r="H693"/>
      <c r="I693"/>
      <c r="J693" s="243"/>
      <c r="K693"/>
      <c r="L693"/>
      <c r="M693"/>
      <c r="N693"/>
      <c r="O693"/>
      <c r="P693"/>
    </row>
    <row r="694" spans="1:16" x14ac:dyDescent="0.2">
      <c r="A694"/>
      <c r="B694"/>
      <c r="C694"/>
      <c r="H694"/>
      <c r="I694"/>
      <c r="J694" s="243"/>
      <c r="K694"/>
      <c r="L694"/>
      <c r="M694"/>
      <c r="N694"/>
      <c r="O694"/>
      <c r="P694"/>
    </row>
    <row r="695" spans="1:16" x14ac:dyDescent="0.2">
      <c r="A695"/>
      <c r="B695"/>
      <c r="C695"/>
      <c r="H695"/>
      <c r="I695"/>
      <c r="J695" s="243"/>
      <c r="K695"/>
      <c r="L695"/>
      <c r="M695"/>
      <c r="N695"/>
      <c r="O695"/>
      <c r="P695"/>
    </row>
    <row r="696" spans="1:16" ht="12" customHeight="1" x14ac:dyDescent="0.2">
      <c r="A696"/>
      <c r="B696"/>
      <c r="C696"/>
      <c r="H696"/>
      <c r="I696"/>
      <c r="J696" s="243"/>
      <c r="K696"/>
      <c r="L696"/>
      <c r="M696"/>
      <c r="N696"/>
      <c r="O696"/>
      <c r="P696"/>
    </row>
    <row r="697" spans="1:16" ht="12" customHeight="1" x14ac:dyDescent="0.2">
      <c r="A697"/>
      <c r="B697"/>
      <c r="C697"/>
      <c r="H697"/>
      <c r="I697"/>
      <c r="J697" s="243"/>
      <c r="K697"/>
      <c r="L697"/>
      <c r="M697"/>
      <c r="N697"/>
      <c r="O697"/>
      <c r="P697"/>
    </row>
    <row r="698" spans="1:16" ht="12" customHeight="1" x14ac:dyDescent="0.2">
      <c r="A698"/>
      <c r="B698"/>
      <c r="C698"/>
      <c r="H698"/>
      <c r="I698"/>
      <c r="J698" s="243"/>
      <c r="K698"/>
      <c r="L698"/>
      <c r="M698"/>
      <c r="N698"/>
      <c r="O698"/>
      <c r="P698"/>
    </row>
    <row r="699" spans="1:16" ht="12" customHeight="1" x14ac:dyDescent="0.2">
      <c r="A699"/>
      <c r="B699"/>
      <c r="C699"/>
      <c r="H699"/>
      <c r="I699"/>
      <c r="J699" s="243"/>
      <c r="K699"/>
      <c r="L699"/>
      <c r="M699"/>
      <c r="N699"/>
      <c r="O699"/>
      <c r="P699"/>
    </row>
    <row r="700" spans="1:16" ht="12" customHeight="1" x14ac:dyDescent="0.2">
      <c r="A700"/>
      <c r="B700"/>
      <c r="C700"/>
      <c r="H700"/>
      <c r="I700"/>
      <c r="J700" s="243"/>
      <c r="K700"/>
      <c r="L700"/>
      <c r="M700"/>
      <c r="N700"/>
      <c r="O700"/>
      <c r="P700"/>
    </row>
    <row r="701" spans="1:16" ht="12" customHeight="1" x14ac:dyDescent="0.2">
      <c r="A701"/>
      <c r="B701"/>
      <c r="C701"/>
      <c r="H701"/>
      <c r="I701"/>
      <c r="J701" s="243"/>
      <c r="K701"/>
      <c r="L701"/>
      <c r="M701"/>
      <c r="N701"/>
      <c r="O701"/>
      <c r="P701"/>
    </row>
    <row r="702" spans="1:16" ht="12" customHeight="1" x14ac:dyDescent="0.2">
      <c r="A702"/>
      <c r="B702"/>
      <c r="C702"/>
      <c r="H702"/>
      <c r="I702"/>
      <c r="J702" s="243"/>
      <c r="K702"/>
      <c r="L702"/>
      <c r="M702"/>
      <c r="N702"/>
      <c r="O702"/>
      <c r="P702"/>
    </row>
    <row r="703" spans="1:16" ht="12" customHeight="1" x14ac:dyDescent="0.2">
      <c r="A703"/>
      <c r="B703"/>
      <c r="C703"/>
      <c r="H703"/>
      <c r="I703"/>
      <c r="J703" s="243"/>
      <c r="K703"/>
      <c r="L703"/>
      <c r="M703"/>
      <c r="N703"/>
      <c r="O703"/>
      <c r="P703"/>
    </row>
    <row r="704" spans="1:16" x14ac:dyDescent="0.2">
      <c r="A704"/>
      <c r="B704"/>
      <c r="C704"/>
      <c r="H704"/>
      <c r="I704"/>
      <c r="J704" s="243"/>
      <c r="K704"/>
      <c r="L704"/>
      <c r="M704"/>
      <c r="N704"/>
      <c r="O704"/>
      <c r="P704"/>
    </row>
    <row r="705" spans="1:16" x14ac:dyDescent="0.2">
      <c r="A705"/>
      <c r="B705"/>
      <c r="C705"/>
      <c r="H705"/>
      <c r="I705"/>
      <c r="J705" s="243"/>
      <c r="K705"/>
      <c r="L705"/>
      <c r="M705"/>
      <c r="N705"/>
      <c r="O705"/>
      <c r="P705"/>
    </row>
    <row r="706" spans="1:16" x14ac:dyDescent="0.2">
      <c r="A706"/>
      <c r="B706"/>
      <c r="C706"/>
      <c r="H706"/>
      <c r="I706"/>
      <c r="J706" s="243"/>
      <c r="K706"/>
      <c r="L706"/>
      <c r="M706"/>
      <c r="N706"/>
      <c r="O706"/>
      <c r="P706"/>
    </row>
    <row r="707" spans="1:16" x14ac:dyDescent="0.2">
      <c r="A707"/>
      <c r="B707"/>
      <c r="C707"/>
      <c r="H707"/>
      <c r="I707"/>
      <c r="J707" s="243"/>
      <c r="K707"/>
      <c r="L707"/>
      <c r="M707"/>
      <c r="N707"/>
      <c r="O707"/>
      <c r="P707"/>
    </row>
    <row r="708" spans="1:16" x14ac:dyDescent="0.2">
      <c r="A708"/>
      <c r="B708"/>
      <c r="C708"/>
      <c r="H708"/>
      <c r="I708"/>
      <c r="J708" s="243"/>
      <c r="K708"/>
      <c r="L708"/>
      <c r="M708"/>
      <c r="N708"/>
      <c r="O708"/>
      <c r="P708"/>
    </row>
    <row r="709" spans="1:16" x14ac:dyDescent="0.2">
      <c r="A709"/>
      <c r="B709"/>
      <c r="C709"/>
      <c r="H709"/>
      <c r="I709"/>
      <c r="J709" s="243"/>
      <c r="K709"/>
      <c r="L709"/>
      <c r="M709"/>
      <c r="N709"/>
      <c r="O709"/>
      <c r="P709"/>
    </row>
    <row r="710" spans="1:16" x14ac:dyDescent="0.2">
      <c r="A710"/>
      <c r="B710"/>
      <c r="C710"/>
      <c r="H710"/>
      <c r="I710"/>
      <c r="J710" s="243"/>
      <c r="K710"/>
      <c r="L710"/>
      <c r="M710"/>
      <c r="N710"/>
      <c r="O710"/>
      <c r="P710"/>
    </row>
    <row r="711" spans="1:16" x14ac:dyDescent="0.2">
      <c r="A711"/>
      <c r="B711"/>
      <c r="C711"/>
      <c r="H711"/>
      <c r="I711"/>
      <c r="J711" s="243"/>
      <c r="K711"/>
      <c r="L711"/>
      <c r="M711"/>
      <c r="N711"/>
      <c r="O711"/>
      <c r="P711"/>
    </row>
    <row r="712" spans="1:16" x14ac:dyDescent="0.2">
      <c r="A712"/>
      <c r="B712"/>
      <c r="C712"/>
      <c r="H712"/>
      <c r="I712"/>
      <c r="J712" s="243"/>
      <c r="K712"/>
      <c r="L712"/>
      <c r="M712"/>
      <c r="N712"/>
      <c r="O712"/>
      <c r="P712"/>
    </row>
    <row r="713" spans="1:16" x14ac:dyDescent="0.2">
      <c r="A713"/>
      <c r="B713"/>
      <c r="C713"/>
      <c r="H713"/>
      <c r="I713"/>
      <c r="J713" s="243"/>
      <c r="K713"/>
      <c r="L713"/>
      <c r="M713"/>
      <c r="N713"/>
      <c r="O713"/>
      <c r="P713"/>
    </row>
    <row r="714" spans="1:16" x14ac:dyDescent="0.2">
      <c r="A714"/>
      <c r="B714"/>
      <c r="C714"/>
      <c r="H714"/>
      <c r="I714"/>
      <c r="J714" s="243"/>
      <c r="K714"/>
      <c r="L714"/>
      <c r="M714"/>
      <c r="N714"/>
      <c r="O714"/>
      <c r="P714"/>
    </row>
    <row r="715" spans="1:16" x14ac:dyDescent="0.2">
      <c r="A715"/>
      <c r="B715"/>
      <c r="C715"/>
      <c r="H715"/>
      <c r="I715"/>
      <c r="J715" s="243"/>
      <c r="K715"/>
      <c r="L715"/>
      <c r="M715"/>
      <c r="N715"/>
      <c r="O715"/>
      <c r="P715"/>
    </row>
    <row r="716" spans="1:16" x14ac:dyDescent="0.2">
      <c r="A716"/>
      <c r="B716"/>
      <c r="C716"/>
      <c r="H716"/>
      <c r="I716"/>
      <c r="J716" s="243"/>
      <c r="K716"/>
      <c r="L716"/>
      <c r="M716"/>
      <c r="N716"/>
      <c r="O716"/>
      <c r="P716"/>
    </row>
    <row r="717" spans="1:16" ht="12" customHeight="1" x14ac:dyDescent="0.2">
      <c r="A717"/>
      <c r="B717"/>
      <c r="C717"/>
      <c r="H717"/>
      <c r="I717"/>
      <c r="J717" s="243"/>
      <c r="K717"/>
      <c r="L717"/>
      <c r="M717"/>
      <c r="N717"/>
      <c r="O717"/>
      <c r="P717"/>
    </row>
    <row r="718" spans="1:16" ht="12" customHeight="1" x14ac:dyDescent="0.2">
      <c r="A718"/>
      <c r="B718"/>
      <c r="C718"/>
      <c r="H718"/>
      <c r="I718"/>
      <c r="J718" s="243"/>
      <c r="K718"/>
      <c r="L718"/>
      <c r="M718"/>
      <c r="N718"/>
      <c r="O718"/>
      <c r="P718"/>
    </row>
    <row r="719" spans="1:16" ht="12" customHeight="1" x14ac:dyDescent="0.2">
      <c r="A719"/>
      <c r="B719"/>
      <c r="C719"/>
      <c r="H719"/>
      <c r="I719"/>
      <c r="J719" s="243"/>
      <c r="K719"/>
      <c r="L719"/>
      <c r="M719"/>
      <c r="N719"/>
      <c r="O719"/>
      <c r="P719"/>
    </row>
    <row r="720" spans="1:16" ht="12" customHeight="1" x14ac:dyDescent="0.2">
      <c r="A720"/>
      <c r="B720"/>
      <c r="C720"/>
      <c r="H720"/>
      <c r="I720"/>
      <c r="J720" s="243"/>
      <c r="K720"/>
      <c r="L720"/>
      <c r="M720"/>
      <c r="N720"/>
      <c r="O720"/>
      <c r="P720"/>
    </row>
    <row r="721" spans="1:16" ht="12" customHeight="1" x14ac:dyDescent="0.2">
      <c r="A721"/>
      <c r="B721"/>
      <c r="C721"/>
      <c r="H721"/>
      <c r="I721"/>
      <c r="J721" s="243"/>
      <c r="K721"/>
      <c r="L721"/>
      <c r="M721"/>
      <c r="N721"/>
      <c r="O721"/>
      <c r="P721"/>
    </row>
    <row r="722" spans="1:16" ht="12" customHeight="1" x14ac:dyDescent="0.2">
      <c r="A722"/>
      <c r="B722"/>
      <c r="C722"/>
      <c r="H722"/>
      <c r="I722"/>
      <c r="J722" s="243"/>
      <c r="K722"/>
      <c r="L722"/>
      <c r="M722"/>
      <c r="N722"/>
      <c r="O722"/>
      <c r="P722"/>
    </row>
    <row r="723" spans="1:16" ht="12" customHeight="1" x14ac:dyDescent="0.2">
      <c r="A723"/>
      <c r="B723"/>
      <c r="C723"/>
      <c r="H723"/>
      <c r="I723"/>
      <c r="J723" s="243"/>
      <c r="K723"/>
      <c r="L723"/>
      <c r="M723"/>
      <c r="N723"/>
      <c r="O723"/>
      <c r="P723"/>
    </row>
    <row r="724" spans="1:16" x14ac:dyDescent="0.2">
      <c r="A724"/>
      <c r="B724"/>
      <c r="C724"/>
      <c r="H724"/>
      <c r="I724"/>
      <c r="J724" s="243"/>
      <c r="K724"/>
      <c r="L724"/>
      <c r="M724"/>
      <c r="N724"/>
      <c r="O724"/>
      <c r="P724"/>
    </row>
    <row r="725" spans="1:16" x14ac:dyDescent="0.2">
      <c r="A725"/>
      <c r="B725"/>
      <c r="C725"/>
      <c r="H725"/>
      <c r="I725"/>
      <c r="J725" s="243"/>
      <c r="K725"/>
      <c r="L725"/>
      <c r="M725"/>
      <c r="N725"/>
      <c r="O725"/>
      <c r="P725"/>
    </row>
    <row r="726" spans="1:16" x14ac:dyDescent="0.2">
      <c r="A726"/>
      <c r="B726"/>
      <c r="C726"/>
      <c r="H726"/>
      <c r="I726"/>
      <c r="J726" s="243"/>
      <c r="K726"/>
      <c r="L726"/>
      <c r="M726"/>
      <c r="N726"/>
      <c r="O726"/>
      <c r="P726"/>
    </row>
    <row r="727" spans="1:16" x14ac:dyDescent="0.2">
      <c r="A727"/>
      <c r="B727"/>
      <c r="C727"/>
      <c r="H727"/>
      <c r="I727"/>
      <c r="J727" s="243"/>
      <c r="K727"/>
      <c r="L727"/>
      <c r="M727"/>
      <c r="N727"/>
      <c r="O727"/>
      <c r="P727"/>
    </row>
    <row r="728" spans="1:16" x14ac:dyDescent="0.2">
      <c r="A728"/>
      <c r="B728"/>
      <c r="C728"/>
      <c r="H728"/>
      <c r="I728"/>
      <c r="J728" s="243"/>
      <c r="K728"/>
      <c r="L728"/>
      <c r="M728"/>
      <c r="N728"/>
      <c r="O728"/>
      <c r="P728"/>
    </row>
    <row r="729" spans="1:16" x14ac:dyDescent="0.2">
      <c r="A729"/>
      <c r="B729"/>
      <c r="C729"/>
      <c r="H729"/>
      <c r="I729"/>
      <c r="J729" s="243"/>
      <c r="K729"/>
      <c r="L729"/>
      <c r="M729"/>
      <c r="N729"/>
      <c r="O729"/>
      <c r="P729"/>
    </row>
    <row r="730" spans="1:16" x14ac:dyDescent="0.2">
      <c r="A730"/>
      <c r="B730"/>
      <c r="C730"/>
      <c r="H730"/>
      <c r="I730"/>
      <c r="J730" s="243"/>
      <c r="K730"/>
      <c r="L730"/>
      <c r="M730"/>
      <c r="N730"/>
      <c r="O730"/>
      <c r="P730"/>
    </row>
    <row r="731" spans="1:16" x14ac:dyDescent="0.2">
      <c r="A731"/>
      <c r="B731"/>
      <c r="C731"/>
      <c r="H731"/>
      <c r="I731"/>
      <c r="J731" s="243"/>
      <c r="K731"/>
      <c r="L731"/>
      <c r="M731"/>
      <c r="N731"/>
      <c r="O731"/>
      <c r="P731"/>
    </row>
    <row r="732" spans="1:16" x14ac:dyDescent="0.2">
      <c r="A732"/>
      <c r="B732"/>
      <c r="C732"/>
      <c r="H732"/>
      <c r="I732"/>
      <c r="J732" s="243"/>
      <c r="K732"/>
      <c r="L732"/>
      <c r="M732"/>
      <c r="N732"/>
      <c r="O732"/>
      <c r="P732"/>
    </row>
    <row r="733" spans="1:16" x14ac:dyDescent="0.2">
      <c r="A733"/>
      <c r="B733"/>
      <c r="C733"/>
      <c r="H733"/>
      <c r="I733"/>
      <c r="J733" s="243"/>
      <c r="K733"/>
      <c r="L733"/>
      <c r="M733"/>
      <c r="N733"/>
      <c r="O733"/>
      <c r="P733"/>
    </row>
    <row r="734" spans="1:16" x14ac:dyDescent="0.2">
      <c r="A734"/>
      <c r="B734"/>
      <c r="C734"/>
      <c r="H734"/>
      <c r="I734"/>
      <c r="J734" s="243"/>
      <c r="K734"/>
      <c r="L734"/>
      <c r="M734"/>
      <c r="N734"/>
      <c r="O734"/>
      <c r="P734"/>
    </row>
    <row r="735" spans="1:16" x14ac:dyDescent="0.2">
      <c r="A735"/>
      <c r="B735"/>
      <c r="C735"/>
      <c r="H735"/>
      <c r="I735"/>
      <c r="J735" s="243"/>
      <c r="K735"/>
      <c r="L735"/>
      <c r="M735"/>
      <c r="N735"/>
      <c r="O735"/>
      <c r="P735"/>
    </row>
    <row r="736" spans="1:16" ht="12" customHeight="1" x14ac:dyDescent="0.2">
      <c r="A736"/>
      <c r="B736"/>
      <c r="C736"/>
      <c r="H736"/>
      <c r="I736"/>
      <c r="J736" s="243"/>
      <c r="K736"/>
      <c r="L736"/>
      <c r="M736"/>
      <c r="N736"/>
      <c r="O736"/>
      <c r="P736"/>
    </row>
    <row r="737" spans="1:16" ht="12" customHeight="1" x14ac:dyDescent="0.2">
      <c r="A737"/>
      <c r="B737"/>
      <c r="C737"/>
      <c r="H737"/>
      <c r="I737"/>
      <c r="J737" s="243"/>
      <c r="K737"/>
      <c r="L737"/>
      <c r="M737"/>
      <c r="N737"/>
      <c r="O737"/>
      <c r="P737"/>
    </row>
    <row r="738" spans="1:16" ht="12" customHeight="1" x14ac:dyDescent="0.2">
      <c r="A738"/>
      <c r="B738"/>
      <c r="C738"/>
      <c r="H738"/>
      <c r="I738"/>
      <c r="J738" s="243"/>
      <c r="K738"/>
      <c r="L738"/>
      <c r="M738"/>
      <c r="N738"/>
      <c r="O738"/>
      <c r="P738"/>
    </row>
    <row r="739" spans="1:16" ht="12" customHeight="1" x14ac:dyDescent="0.2">
      <c r="A739"/>
      <c r="B739"/>
      <c r="C739"/>
      <c r="H739"/>
      <c r="I739"/>
      <c r="J739" s="243"/>
      <c r="K739"/>
      <c r="L739"/>
      <c r="M739"/>
      <c r="N739"/>
      <c r="O739"/>
      <c r="P739"/>
    </row>
    <row r="740" spans="1:16" ht="12" customHeight="1" x14ac:dyDescent="0.2">
      <c r="A740"/>
      <c r="B740"/>
      <c r="C740"/>
      <c r="H740"/>
      <c r="I740"/>
      <c r="J740" s="243"/>
      <c r="K740"/>
      <c r="L740"/>
      <c r="M740"/>
      <c r="N740"/>
      <c r="O740"/>
      <c r="P740"/>
    </row>
    <row r="741" spans="1:16" ht="12" customHeight="1" x14ac:dyDescent="0.2">
      <c r="A741"/>
      <c r="B741"/>
      <c r="C741"/>
      <c r="H741"/>
      <c r="I741"/>
      <c r="J741" s="243"/>
      <c r="K741"/>
      <c r="L741"/>
      <c r="M741"/>
      <c r="N741"/>
      <c r="O741"/>
      <c r="P741"/>
    </row>
    <row r="742" spans="1:16" ht="12" customHeight="1" x14ac:dyDescent="0.2">
      <c r="A742"/>
      <c r="B742"/>
      <c r="C742"/>
      <c r="H742"/>
      <c r="I742"/>
      <c r="J742" s="243"/>
      <c r="K742"/>
      <c r="L742"/>
      <c r="M742"/>
      <c r="N742"/>
      <c r="O742"/>
      <c r="P742"/>
    </row>
    <row r="743" spans="1:16" ht="12" customHeight="1" x14ac:dyDescent="0.2">
      <c r="A743"/>
      <c r="B743"/>
      <c r="C743"/>
      <c r="H743"/>
      <c r="I743"/>
      <c r="J743" s="243"/>
      <c r="K743"/>
      <c r="L743"/>
      <c r="M743"/>
      <c r="N743"/>
      <c r="O743"/>
      <c r="P743"/>
    </row>
    <row r="744" spans="1:16" x14ac:dyDescent="0.2">
      <c r="A744"/>
      <c r="B744"/>
      <c r="C744"/>
      <c r="H744"/>
      <c r="I744"/>
      <c r="J744" s="243"/>
      <c r="K744"/>
      <c r="L744"/>
      <c r="M744"/>
      <c r="N744"/>
      <c r="O744"/>
      <c r="P744"/>
    </row>
    <row r="745" spans="1:16" x14ac:dyDescent="0.2">
      <c r="A745"/>
      <c r="B745"/>
      <c r="C745"/>
      <c r="H745"/>
      <c r="I745"/>
      <c r="J745" s="243"/>
      <c r="K745"/>
      <c r="L745"/>
      <c r="M745"/>
      <c r="N745"/>
      <c r="O745"/>
      <c r="P745"/>
    </row>
    <row r="746" spans="1:16" x14ac:dyDescent="0.2">
      <c r="A746"/>
      <c r="B746"/>
      <c r="C746"/>
      <c r="H746"/>
      <c r="I746"/>
      <c r="J746" s="243"/>
      <c r="K746"/>
      <c r="L746"/>
      <c r="M746"/>
      <c r="N746"/>
      <c r="O746"/>
      <c r="P746"/>
    </row>
    <row r="747" spans="1:16" x14ac:dyDescent="0.2">
      <c r="A747"/>
      <c r="B747"/>
      <c r="C747"/>
      <c r="H747"/>
      <c r="I747"/>
      <c r="J747" s="243"/>
      <c r="K747"/>
      <c r="L747"/>
      <c r="M747"/>
      <c r="N747"/>
      <c r="O747"/>
      <c r="P747"/>
    </row>
    <row r="748" spans="1:16" x14ac:dyDescent="0.2">
      <c r="A748"/>
      <c r="B748"/>
      <c r="C748"/>
      <c r="H748"/>
      <c r="I748"/>
      <c r="J748" s="243"/>
      <c r="K748"/>
      <c r="L748"/>
      <c r="M748"/>
      <c r="N748"/>
      <c r="O748"/>
      <c r="P748"/>
    </row>
    <row r="749" spans="1:16" x14ac:dyDescent="0.2">
      <c r="A749"/>
      <c r="B749"/>
      <c r="C749"/>
      <c r="H749"/>
      <c r="I749"/>
      <c r="J749" s="243"/>
      <c r="K749"/>
      <c r="L749"/>
      <c r="M749"/>
      <c r="N749"/>
      <c r="O749"/>
      <c r="P749"/>
    </row>
    <row r="750" spans="1:16" x14ac:dyDescent="0.2">
      <c r="A750"/>
      <c r="B750"/>
      <c r="C750"/>
      <c r="H750"/>
      <c r="I750"/>
      <c r="J750" s="243"/>
      <c r="K750"/>
      <c r="L750"/>
      <c r="M750"/>
      <c r="N750"/>
      <c r="O750"/>
      <c r="P750"/>
    </row>
    <row r="751" spans="1:16" x14ac:dyDescent="0.2">
      <c r="A751"/>
      <c r="B751"/>
      <c r="C751"/>
      <c r="H751"/>
      <c r="I751"/>
      <c r="J751" s="243"/>
      <c r="K751"/>
      <c r="L751"/>
      <c r="M751"/>
      <c r="N751"/>
      <c r="O751"/>
      <c r="P751"/>
    </row>
    <row r="752" spans="1:16" x14ac:dyDescent="0.2">
      <c r="A752"/>
      <c r="B752"/>
      <c r="C752"/>
      <c r="H752"/>
      <c r="I752"/>
      <c r="J752" s="243"/>
      <c r="K752"/>
      <c r="L752"/>
      <c r="M752"/>
      <c r="N752"/>
      <c r="O752"/>
      <c r="P752"/>
    </row>
    <row r="753" spans="1:16" x14ac:dyDescent="0.2">
      <c r="A753"/>
      <c r="B753"/>
      <c r="C753"/>
      <c r="H753"/>
      <c r="I753"/>
      <c r="J753" s="243"/>
      <c r="K753"/>
      <c r="L753"/>
      <c r="M753"/>
      <c r="N753"/>
      <c r="O753"/>
      <c r="P753"/>
    </row>
    <row r="754" spans="1:16" x14ac:dyDescent="0.2">
      <c r="A754"/>
      <c r="B754"/>
      <c r="C754"/>
      <c r="H754"/>
      <c r="I754"/>
      <c r="J754" s="243"/>
      <c r="K754"/>
      <c r="L754"/>
      <c r="M754"/>
      <c r="N754"/>
      <c r="O754"/>
      <c r="P754"/>
    </row>
    <row r="755" spans="1:16" x14ac:dyDescent="0.2">
      <c r="A755"/>
      <c r="B755"/>
      <c r="C755"/>
      <c r="H755"/>
      <c r="I755"/>
      <c r="J755" s="243"/>
      <c r="K755"/>
      <c r="L755"/>
      <c r="M755"/>
      <c r="N755"/>
      <c r="O755"/>
      <c r="P755"/>
    </row>
    <row r="756" spans="1:16" x14ac:dyDescent="0.2">
      <c r="A756"/>
      <c r="B756"/>
      <c r="C756"/>
      <c r="H756"/>
      <c r="I756"/>
      <c r="J756" s="243"/>
      <c r="K756"/>
      <c r="L756"/>
      <c r="M756"/>
      <c r="N756"/>
      <c r="O756"/>
      <c r="P756"/>
    </row>
    <row r="757" spans="1:16" x14ac:dyDescent="0.2">
      <c r="A757"/>
      <c r="B757"/>
      <c r="C757"/>
      <c r="H757"/>
      <c r="I757"/>
      <c r="J757" s="243"/>
      <c r="K757"/>
      <c r="L757"/>
      <c r="M757"/>
      <c r="N757"/>
      <c r="O757"/>
      <c r="P757"/>
    </row>
    <row r="758" spans="1:16" ht="12" customHeight="1" x14ac:dyDescent="0.2">
      <c r="A758"/>
      <c r="B758"/>
      <c r="C758"/>
      <c r="H758"/>
      <c r="I758"/>
      <c r="J758" s="243"/>
      <c r="K758"/>
      <c r="L758"/>
      <c r="M758"/>
      <c r="N758"/>
      <c r="O758"/>
      <c r="P758"/>
    </row>
    <row r="759" spans="1:16" ht="12" customHeight="1" x14ac:dyDescent="0.2">
      <c r="A759"/>
      <c r="B759"/>
      <c r="C759"/>
      <c r="H759"/>
      <c r="I759"/>
      <c r="J759" s="243"/>
      <c r="K759"/>
      <c r="L759"/>
      <c r="M759"/>
      <c r="N759"/>
      <c r="O759"/>
      <c r="P759"/>
    </row>
    <row r="760" spans="1:16" ht="12" customHeight="1" x14ac:dyDescent="0.2">
      <c r="A760"/>
      <c r="B760"/>
      <c r="C760"/>
      <c r="H760"/>
      <c r="I760"/>
      <c r="J760" s="243"/>
      <c r="K760"/>
      <c r="L760"/>
      <c r="M760"/>
      <c r="N760"/>
      <c r="O760"/>
      <c r="P760"/>
    </row>
    <row r="761" spans="1:16" ht="12" customHeight="1" x14ac:dyDescent="0.2">
      <c r="A761"/>
      <c r="B761"/>
      <c r="C761"/>
      <c r="H761"/>
      <c r="I761"/>
      <c r="J761" s="243"/>
      <c r="K761"/>
      <c r="L761"/>
      <c r="M761"/>
      <c r="N761"/>
      <c r="O761"/>
      <c r="P761"/>
    </row>
    <row r="762" spans="1:16" ht="12" customHeight="1" x14ac:dyDescent="0.2">
      <c r="A762"/>
      <c r="B762"/>
      <c r="C762"/>
      <c r="H762"/>
      <c r="I762"/>
      <c r="J762" s="243"/>
      <c r="K762"/>
      <c r="L762"/>
      <c r="M762"/>
      <c r="N762"/>
      <c r="O762"/>
      <c r="P762"/>
    </row>
    <row r="763" spans="1:16" ht="12" customHeight="1" x14ac:dyDescent="0.2">
      <c r="A763"/>
      <c r="B763"/>
      <c r="C763"/>
      <c r="H763"/>
      <c r="I763"/>
      <c r="J763" s="243"/>
      <c r="K763"/>
      <c r="L763"/>
      <c r="M763"/>
      <c r="N763"/>
      <c r="O763"/>
      <c r="P763"/>
    </row>
    <row r="764" spans="1:16" ht="12.75" customHeight="1" x14ac:dyDescent="0.2">
      <c r="A764"/>
      <c r="B764"/>
      <c r="C764"/>
      <c r="H764"/>
      <c r="I764"/>
      <c r="J764" s="243"/>
      <c r="K764"/>
      <c r="L764"/>
      <c r="M764"/>
      <c r="N764"/>
      <c r="O764"/>
      <c r="P764"/>
    </row>
    <row r="765" spans="1:16" x14ac:dyDescent="0.2">
      <c r="A765"/>
      <c r="B765"/>
      <c r="C765"/>
      <c r="H765"/>
      <c r="I765"/>
      <c r="J765" s="243"/>
      <c r="K765"/>
      <c r="L765"/>
      <c r="M765"/>
      <c r="N765"/>
      <c r="O765"/>
      <c r="P765"/>
    </row>
    <row r="766" spans="1:16" x14ac:dyDescent="0.2">
      <c r="A766"/>
      <c r="B766"/>
      <c r="C766"/>
      <c r="H766"/>
      <c r="I766"/>
      <c r="J766" s="243"/>
      <c r="K766"/>
      <c r="L766"/>
      <c r="M766"/>
      <c r="N766"/>
      <c r="O766"/>
      <c r="P766"/>
    </row>
    <row r="767" spans="1:16" x14ac:dyDescent="0.2">
      <c r="A767"/>
      <c r="B767"/>
      <c r="C767"/>
      <c r="H767"/>
      <c r="I767"/>
      <c r="J767" s="243"/>
      <c r="K767"/>
      <c r="L767"/>
      <c r="M767"/>
      <c r="N767"/>
      <c r="O767"/>
      <c r="P767"/>
    </row>
    <row r="768" spans="1:16" x14ac:dyDescent="0.2">
      <c r="A768"/>
      <c r="B768"/>
      <c r="C768"/>
      <c r="H768"/>
      <c r="I768"/>
      <c r="J768" s="243"/>
      <c r="K768"/>
      <c r="L768"/>
      <c r="M768"/>
      <c r="N768"/>
      <c r="O768"/>
      <c r="P768"/>
    </row>
    <row r="769" spans="1:16" x14ac:dyDescent="0.2">
      <c r="A769"/>
      <c r="B769"/>
      <c r="C769"/>
      <c r="H769"/>
      <c r="I769"/>
      <c r="J769" s="243"/>
      <c r="K769"/>
      <c r="L769"/>
      <c r="M769"/>
      <c r="N769"/>
      <c r="O769"/>
      <c r="P769"/>
    </row>
    <row r="770" spans="1:16" x14ac:dyDescent="0.2">
      <c r="A770"/>
      <c r="B770"/>
      <c r="C770"/>
      <c r="H770"/>
      <c r="I770"/>
      <c r="J770" s="243"/>
      <c r="K770"/>
      <c r="L770"/>
      <c r="M770"/>
      <c r="N770"/>
      <c r="O770"/>
      <c r="P770"/>
    </row>
    <row r="771" spans="1:16" x14ac:dyDescent="0.2">
      <c r="A771"/>
      <c r="B771"/>
      <c r="C771"/>
      <c r="H771"/>
      <c r="I771"/>
      <c r="J771" s="243"/>
      <c r="K771"/>
      <c r="L771"/>
      <c r="M771"/>
      <c r="N771"/>
      <c r="O771"/>
      <c r="P771"/>
    </row>
    <row r="772" spans="1:16" x14ac:dyDescent="0.2">
      <c r="A772"/>
      <c r="B772"/>
      <c r="C772"/>
      <c r="H772"/>
      <c r="I772"/>
      <c r="J772" s="243"/>
      <c r="K772"/>
      <c r="L772"/>
      <c r="M772"/>
      <c r="N772"/>
      <c r="O772"/>
      <c r="P772"/>
    </row>
    <row r="773" spans="1:16" x14ac:dyDescent="0.2">
      <c r="A773"/>
      <c r="B773"/>
      <c r="C773"/>
      <c r="H773"/>
      <c r="I773"/>
      <c r="J773" s="243"/>
      <c r="K773"/>
      <c r="L773"/>
      <c r="M773"/>
      <c r="N773"/>
      <c r="O773"/>
      <c r="P773"/>
    </row>
    <row r="774" spans="1:16" x14ac:dyDescent="0.2">
      <c r="A774"/>
      <c r="B774"/>
      <c r="C774"/>
      <c r="H774"/>
      <c r="I774"/>
      <c r="J774" s="243"/>
      <c r="K774"/>
      <c r="L774"/>
      <c r="M774"/>
      <c r="N774"/>
      <c r="O774"/>
      <c r="P774"/>
    </row>
    <row r="775" spans="1:16" ht="12" customHeight="1" x14ac:dyDescent="0.2">
      <c r="A775"/>
      <c r="B775"/>
      <c r="C775"/>
      <c r="H775"/>
      <c r="I775"/>
      <c r="J775" s="243"/>
      <c r="K775"/>
      <c r="L775"/>
      <c r="M775"/>
      <c r="N775"/>
      <c r="O775"/>
      <c r="P775"/>
    </row>
    <row r="776" spans="1:16" ht="12" customHeight="1" x14ac:dyDescent="0.2">
      <c r="A776"/>
      <c r="B776"/>
      <c r="C776"/>
      <c r="H776"/>
      <c r="I776"/>
      <c r="J776" s="243"/>
      <c r="K776"/>
      <c r="L776"/>
      <c r="M776"/>
      <c r="N776"/>
      <c r="O776"/>
      <c r="P776"/>
    </row>
    <row r="777" spans="1:16" ht="12" customHeight="1" x14ac:dyDescent="0.2">
      <c r="A777"/>
      <c r="B777"/>
      <c r="C777"/>
      <c r="H777"/>
      <c r="I777"/>
      <c r="J777" s="243"/>
      <c r="K777"/>
      <c r="L777"/>
      <c r="M777"/>
      <c r="N777"/>
      <c r="O777"/>
      <c r="P777"/>
    </row>
    <row r="778" spans="1:16" ht="12" customHeight="1" x14ac:dyDescent="0.2">
      <c r="A778"/>
      <c r="B778"/>
      <c r="C778"/>
      <c r="H778"/>
      <c r="I778"/>
      <c r="J778" s="243"/>
      <c r="K778"/>
      <c r="L778"/>
      <c r="M778"/>
      <c r="N778"/>
      <c r="O778"/>
      <c r="P778"/>
    </row>
    <row r="779" spans="1:16" ht="12" customHeight="1" x14ac:dyDescent="0.2">
      <c r="A779"/>
      <c r="B779"/>
      <c r="C779"/>
      <c r="H779"/>
      <c r="I779"/>
      <c r="J779" s="243"/>
      <c r="K779"/>
      <c r="L779"/>
      <c r="M779"/>
      <c r="N779"/>
      <c r="O779"/>
      <c r="P779"/>
    </row>
    <row r="780" spans="1:16" ht="12" customHeight="1" x14ac:dyDescent="0.2">
      <c r="A780"/>
      <c r="B780"/>
      <c r="C780"/>
      <c r="H780"/>
      <c r="I780"/>
      <c r="J780" s="243"/>
      <c r="K780"/>
      <c r="L780"/>
      <c r="M780"/>
      <c r="N780"/>
      <c r="O780"/>
      <c r="P780"/>
    </row>
    <row r="781" spans="1:16" ht="12" customHeight="1" x14ac:dyDescent="0.2">
      <c r="A781"/>
      <c r="B781"/>
      <c r="C781"/>
      <c r="H781"/>
      <c r="I781"/>
      <c r="J781" s="243"/>
      <c r="K781"/>
      <c r="L781"/>
      <c r="M781"/>
      <c r="N781"/>
      <c r="O781"/>
      <c r="P781"/>
    </row>
    <row r="782" spans="1:16" x14ac:dyDescent="0.2">
      <c r="A782"/>
      <c r="B782"/>
      <c r="C782"/>
      <c r="H782"/>
      <c r="I782"/>
      <c r="J782" s="243"/>
      <c r="K782"/>
      <c r="L782"/>
      <c r="M782"/>
      <c r="N782"/>
      <c r="O782"/>
      <c r="P782"/>
    </row>
    <row r="783" spans="1:16" x14ac:dyDescent="0.2">
      <c r="A783"/>
      <c r="B783"/>
      <c r="C783"/>
      <c r="H783"/>
      <c r="I783"/>
      <c r="J783" s="243"/>
      <c r="K783"/>
      <c r="L783"/>
      <c r="M783"/>
      <c r="N783"/>
      <c r="O783"/>
      <c r="P783"/>
    </row>
    <row r="784" spans="1:16" x14ac:dyDescent="0.2">
      <c r="A784"/>
      <c r="B784"/>
      <c r="C784"/>
      <c r="H784"/>
      <c r="I784"/>
      <c r="J784" s="243"/>
      <c r="K784"/>
      <c r="L784"/>
      <c r="M784"/>
      <c r="N784"/>
      <c r="O784"/>
      <c r="P784"/>
    </row>
    <row r="785" spans="1:16" x14ac:dyDescent="0.2">
      <c r="A785"/>
      <c r="B785"/>
      <c r="C785"/>
      <c r="H785"/>
      <c r="I785"/>
      <c r="J785" s="243"/>
      <c r="K785"/>
      <c r="L785"/>
      <c r="M785"/>
      <c r="N785"/>
      <c r="O785"/>
      <c r="P785"/>
    </row>
    <row r="786" spans="1:16" x14ac:dyDescent="0.2">
      <c r="A786"/>
      <c r="B786"/>
      <c r="C786"/>
      <c r="H786"/>
      <c r="I786"/>
      <c r="J786" s="243"/>
      <c r="K786"/>
      <c r="L786"/>
      <c r="M786"/>
      <c r="N786"/>
      <c r="O786"/>
      <c r="P786"/>
    </row>
    <row r="787" spans="1:16" x14ac:dyDescent="0.2">
      <c r="A787"/>
      <c r="B787"/>
      <c r="C787"/>
      <c r="H787"/>
      <c r="I787"/>
      <c r="J787" s="243"/>
      <c r="K787"/>
      <c r="L787"/>
      <c r="M787"/>
      <c r="N787"/>
      <c r="O787"/>
      <c r="P787"/>
    </row>
    <row r="788" spans="1:16" x14ac:dyDescent="0.2">
      <c r="A788"/>
      <c r="B788"/>
      <c r="C788"/>
      <c r="H788"/>
      <c r="I788"/>
      <c r="J788" s="243"/>
      <c r="K788"/>
      <c r="L788"/>
      <c r="M788"/>
      <c r="N788"/>
      <c r="O788"/>
      <c r="P788"/>
    </row>
    <row r="789" spans="1:16" x14ac:dyDescent="0.2">
      <c r="A789"/>
      <c r="B789"/>
      <c r="C789"/>
      <c r="H789"/>
      <c r="I789"/>
      <c r="J789" s="243"/>
      <c r="K789"/>
      <c r="L789"/>
      <c r="M789"/>
      <c r="N789"/>
      <c r="O789"/>
      <c r="P789"/>
    </row>
    <row r="790" spans="1:16" x14ac:dyDescent="0.2">
      <c r="A790"/>
      <c r="B790"/>
      <c r="C790"/>
      <c r="H790"/>
      <c r="I790"/>
      <c r="J790" s="243"/>
      <c r="K790"/>
      <c r="L790"/>
      <c r="M790"/>
      <c r="N790"/>
      <c r="O790"/>
      <c r="P790"/>
    </row>
    <row r="791" spans="1:16" x14ac:dyDescent="0.2">
      <c r="A791"/>
      <c r="B791"/>
      <c r="C791"/>
      <c r="H791"/>
      <c r="I791"/>
      <c r="J791" s="243"/>
      <c r="K791"/>
      <c r="L791"/>
      <c r="M791"/>
      <c r="N791"/>
      <c r="O791"/>
      <c r="P791"/>
    </row>
    <row r="792" spans="1:16" x14ac:dyDescent="0.2">
      <c r="A792"/>
      <c r="B792"/>
      <c r="C792"/>
      <c r="H792"/>
      <c r="I792"/>
      <c r="J792" s="243"/>
      <c r="K792"/>
      <c r="L792"/>
      <c r="M792"/>
      <c r="N792"/>
      <c r="O792"/>
      <c r="P792"/>
    </row>
    <row r="793" spans="1:16" x14ac:dyDescent="0.2">
      <c r="A793"/>
      <c r="B793"/>
      <c r="C793"/>
      <c r="H793"/>
      <c r="I793"/>
      <c r="J793" s="243"/>
      <c r="K793"/>
      <c r="L793"/>
      <c r="M793"/>
      <c r="N793"/>
      <c r="O793"/>
      <c r="P793"/>
    </row>
    <row r="794" spans="1:16" ht="12" customHeight="1" x14ac:dyDescent="0.2">
      <c r="A794"/>
      <c r="B794"/>
      <c r="C794"/>
      <c r="H794"/>
      <c r="I794"/>
      <c r="J794" s="243"/>
      <c r="K794"/>
      <c r="L794"/>
      <c r="M794"/>
      <c r="N794"/>
      <c r="O794"/>
      <c r="P794"/>
    </row>
    <row r="795" spans="1:16" ht="12" customHeight="1" x14ac:dyDescent="0.2">
      <c r="A795"/>
      <c r="B795"/>
      <c r="C795"/>
      <c r="H795"/>
      <c r="I795"/>
      <c r="J795" s="243"/>
      <c r="K795"/>
      <c r="L795"/>
      <c r="M795"/>
      <c r="N795"/>
      <c r="O795"/>
      <c r="P795"/>
    </row>
    <row r="796" spans="1:16" ht="12" customHeight="1" x14ac:dyDescent="0.2">
      <c r="A796"/>
      <c r="B796"/>
      <c r="C796"/>
      <c r="H796"/>
      <c r="I796"/>
      <c r="J796" s="243"/>
      <c r="K796"/>
      <c r="L796"/>
      <c r="M796"/>
      <c r="N796"/>
      <c r="O796"/>
      <c r="P796"/>
    </row>
    <row r="797" spans="1:16" ht="12" customHeight="1" x14ac:dyDescent="0.2">
      <c r="A797"/>
      <c r="B797"/>
      <c r="C797"/>
      <c r="H797"/>
      <c r="I797"/>
      <c r="J797" s="243"/>
      <c r="K797"/>
      <c r="L797"/>
      <c r="M797"/>
      <c r="N797"/>
      <c r="O797"/>
      <c r="P797"/>
    </row>
    <row r="798" spans="1:16" ht="12" customHeight="1" x14ac:dyDescent="0.2">
      <c r="A798"/>
      <c r="B798"/>
      <c r="C798"/>
      <c r="H798"/>
      <c r="I798"/>
      <c r="J798" s="243"/>
      <c r="K798"/>
      <c r="L798"/>
      <c r="M798"/>
      <c r="N798"/>
      <c r="O798"/>
      <c r="P798"/>
    </row>
    <row r="799" spans="1:16" ht="12" customHeight="1" x14ac:dyDescent="0.2">
      <c r="A799"/>
      <c r="B799"/>
      <c r="C799"/>
      <c r="H799"/>
      <c r="I799"/>
      <c r="J799" s="243"/>
      <c r="K799"/>
      <c r="L799"/>
      <c r="M799"/>
      <c r="N799"/>
      <c r="O799"/>
      <c r="P799"/>
    </row>
    <row r="800" spans="1:16" x14ac:dyDescent="0.2">
      <c r="A800"/>
      <c r="B800"/>
      <c r="C800"/>
      <c r="H800"/>
      <c r="I800"/>
      <c r="J800" s="243"/>
      <c r="K800"/>
      <c r="L800"/>
      <c r="M800"/>
      <c r="N800"/>
      <c r="O800"/>
      <c r="P800"/>
    </row>
    <row r="801" spans="1:16" x14ac:dyDescent="0.2">
      <c r="A801"/>
      <c r="B801"/>
      <c r="C801"/>
      <c r="H801"/>
      <c r="I801"/>
      <c r="J801" s="243"/>
      <c r="K801"/>
      <c r="L801"/>
      <c r="M801"/>
      <c r="N801"/>
      <c r="O801"/>
      <c r="P801"/>
    </row>
    <row r="802" spans="1:16" x14ac:dyDescent="0.2">
      <c r="A802"/>
      <c r="B802"/>
      <c r="C802"/>
      <c r="H802"/>
      <c r="I802"/>
      <c r="J802" s="243"/>
      <c r="K802"/>
      <c r="L802"/>
      <c r="M802"/>
      <c r="N802"/>
      <c r="O802"/>
      <c r="P802"/>
    </row>
    <row r="803" spans="1:16" x14ac:dyDescent="0.2">
      <c r="A803"/>
      <c r="B803"/>
      <c r="C803"/>
      <c r="H803"/>
      <c r="I803"/>
      <c r="J803" s="243"/>
      <c r="K803"/>
      <c r="L803"/>
      <c r="M803"/>
      <c r="N803"/>
      <c r="O803"/>
      <c r="P803"/>
    </row>
    <row r="804" spans="1:16" x14ac:dyDescent="0.2">
      <c r="A804"/>
      <c r="B804"/>
      <c r="C804"/>
      <c r="H804"/>
      <c r="I804"/>
      <c r="J804" s="243"/>
      <c r="K804"/>
      <c r="L804"/>
      <c r="M804"/>
      <c r="N804"/>
      <c r="O804"/>
      <c r="P804"/>
    </row>
    <row r="805" spans="1:16" x14ac:dyDescent="0.2">
      <c r="A805"/>
      <c r="B805"/>
      <c r="C805"/>
      <c r="H805"/>
      <c r="I805"/>
      <c r="J805" s="243"/>
      <c r="K805"/>
      <c r="L805"/>
      <c r="M805"/>
      <c r="N805"/>
      <c r="O805"/>
      <c r="P805"/>
    </row>
    <row r="806" spans="1:16" x14ac:dyDescent="0.2">
      <c r="A806"/>
      <c r="B806"/>
      <c r="C806"/>
      <c r="H806"/>
      <c r="I806"/>
      <c r="J806" s="243"/>
      <c r="K806"/>
      <c r="L806"/>
      <c r="M806"/>
      <c r="N806"/>
      <c r="O806"/>
      <c r="P806"/>
    </row>
    <row r="807" spans="1:16" x14ac:dyDescent="0.2">
      <c r="A807"/>
      <c r="B807"/>
      <c r="C807"/>
      <c r="H807"/>
      <c r="I807"/>
      <c r="J807" s="243"/>
      <c r="K807"/>
      <c r="L807"/>
      <c r="M807"/>
      <c r="N807"/>
      <c r="O807"/>
      <c r="P807"/>
    </row>
    <row r="808" spans="1:16" x14ac:dyDescent="0.2">
      <c r="A808"/>
      <c r="B808"/>
      <c r="C808"/>
      <c r="H808"/>
      <c r="I808"/>
      <c r="J808" s="243"/>
      <c r="K808"/>
      <c r="L808"/>
      <c r="M808"/>
      <c r="N808"/>
      <c r="O808"/>
      <c r="P808"/>
    </row>
    <row r="809" spans="1:16" x14ac:dyDescent="0.2">
      <c r="A809"/>
      <c r="B809"/>
      <c r="C809"/>
      <c r="H809"/>
      <c r="I809"/>
      <c r="J809" s="243"/>
      <c r="K809"/>
      <c r="L809"/>
      <c r="M809"/>
      <c r="N809"/>
      <c r="O809"/>
      <c r="P809"/>
    </row>
    <row r="810" spans="1:16" x14ac:dyDescent="0.2">
      <c r="A810"/>
      <c r="B810"/>
      <c r="C810"/>
      <c r="H810"/>
      <c r="I810"/>
      <c r="J810" s="243"/>
      <c r="K810"/>
      <c r="L810"/>
      <c r="M810"/>
      <c r="N810"/>
      <c r="O810"/>
      <c r="P810"/>
    </row>
    <row r="811" spans="1:16" x14ac:dyDescent="0.2">
      <c r="A811"/>
      <c r="B811"/>
      <c r="C811"/>
      <c r="H811"/>
      <c r="I811"/>
      <c r="J811" s="243"/>
      <c r="K811"/>
      <c r="L811"/>
      <c r="M811"/>
      <c r="N811"/>
      <c r="O811"/>
      <c r="P811"/>
    </row>
    <row r="812" spans="1:16" x14ac:dyDescent="0.2">
      <c r="A812"/>
      <c r="B812"/>
      <c r="C812"/>
      <c r="H812"/>
      <c r="I812"/>
      <c r="J812" s="243"/>
      <c r="K812"/>
      <c r="L812"/>
      <c r="M812"/>
      <c r="N812"/>
      <c r="O812"/>
      <c r="P812"/>
    </row>
    <row r="813" spans="1:16" x14ac:dyDescent="0.2">
      <c r="A813"/>
      <c r="B813"/>
      <c r="C813"/>
      <c r="H813"/>
      <c r="I813"/>
      <c r="J813" s="243"/>
      <c r="K813"/>
      <c r="L813"/>
      <c r="M813"/>
      <c r="N813"/>
      <c r="O813"/>
      <c r="P813"/>
    </row>
    <row r="814" spans="1:16" ht="12" customHeight="1" x14ac:dyDescent="0.2">
      <c r="A814"/>
      <c r="B814"/>
      <c r="C814"/>
      <c r="H814"/>
      <c r="I814"/>
      <c r="J814" s="243"/>
      <c r="K814"/>
      <c r="L814"/>
      <c r="M814"/>
      <c r="N814"/>
      <c r="O814"/>
      <c r="P814"/>
    </row>
    <row r="815" spans="1:16" ht="12" customHeight="1" x14ac:dyDescent="0.2">
      <c r="A815"/>
      <c r="B815"/>
      <c r="C815"/>
      <c r="H815"/>
      <c r="I815"/>
      <c r="J815" s="243"/>
      <c r="K815"/>
      <c r="L815"/>
      <c r="M815"/>
      <c r="N815"/>
      <c r="O815"/>
      <c r="P815"/>
    </row>
    <row r="816" spans="1:16" ht="12" customHeight="1" x14ac:dyDescent="0.2">
      <c r="A816"/>
      <c r="B816"/>
      <c r="C816"/>
      <c r="H816"/>
      <c r="I816"/>
      <c r="J816" s="243"/>
      <c r="K816"/>
      <c r="L816"/>
      <c r="M816"/>
      <c r="N816"/>
      <c r="O816"/>
      <c r="P816"/>
    </row>
    <row r="817" spans="1:16" ht="12" customHeight="1" x14ac:dyDescent="0.2">
      <c r="A817"/>
      <c r="B817"/>
      <c r="C817"/>
      <c r="H817"/>
      <c r="I817"/>
      <c r="J817" s="243"/>
      <c r="K817"/>
      <c r="L817"/>
      <c r="M817"/>
      <c r="N817"/>
      <c r="O817"/>
      <c r="P817"/>
    </row>
    <row r="818" spans="1:16" ht="12" customHeight="1" x14ac:dyDescent="0.2">
      <c r="A818"/>
      <c r="B818"/>
      <c r="C818"/>
      <c r="H818"/>
      <c r="I818"/>
      <c r="J818" s="243"/>
      <c r="K818"/>
      <c r="L818"/>
      <c r="M818"/>
      <c r="N818"/>
      <c r="O818"/>
      <c r="P818"/>
    </row>
    <row r="819" spans="1:16" ht="12" customHeight="1" x14ac:dyDescent="0.2">
      <c r="A819"/>
      <c r="B819"/>
      <c r="C819"/>
      <c r="H819"/>
      <c r="I819"/>
      <c r="J819" s="243"/>
      <c r="K819"/>
      <c r="L819"/>
      <c r="M819"/>
      <c r="N819"/>
      <c r="O819"/>
      <c r="P819"/>
    </row>
    <row r="820" spans="1:16" ht="12" customHeight="1" x14ac:dyDescent="0.2">
      <c r="A820"/>
      <c r="B820"/>
      <c r="C820"/>
      <c r="H820"/>
      <c r="I820"/>
      <c r="J820" s="243"/>
      <c r="K820"/>
      <c r="L820"/>
      <c r="M820"/>
      <c r="N820"/>
      <c r="O820"/>
      <c r="P820"/>
    </row>
    <row r="821" spans="1:16" x14ac:dyDescent="0.2">
      <c r="A821"/>
      <c r="B821"/>
      <c r="C821"/>
      <c r="H821"/>
      <c r="I821"/>
      <c r="J821" s="243"/>
      <c r="K821"/>
      <c r="L821"/>
      <c r="M821"/>
      <c r="N821"/>
      <c r="O821"/>
      <c r="P821"/>
    </row>
    <row r="822" spans="1:16" x14ac:dyDescent="0.2">
      <c r="A822"/>
      <c r="B822"/>
      <c r="C822"/>
      <c r="H822"/>
      <c r="I822"/>
      <c r="J822" s="243"/>
      <c r="K822"/>
      <c r="L822"/>
      <c r="M822"/>
      <c r="N822"/>
      <c r="O822"/>
      <c r="P822"/>
    </row>
    <row r="823" spans="1:16" x14ac:dyDescent="0.2">
      <c r="A823"/>
      <c r="B823"/>
      <c r="C823"/>
      <c r="H823"/>
      <c r="I823"/>
      <c r="J823" s="243"/>
      <c r="K823"/>
      <c r="L823"/>
      <c r="M823"/>
      <c r="N823"/>
      <c r="O823"/>
      <c r="P823"/>
    </row>
    <row r="824" spans="1:16" ht="12" customHeight="1" x14ac:dyDescent="0.2">
      <c r="A824"/>
      <c r="B824"/>
      <c r="C824"/>
      <c r="H824"/>
      <c r="I824"/>
      <c r="J824" s="243"/>
      <c r="K824"/>
      <c r="L824"/>
      <c r="M824"/>
      <c r="N824"/>
      <c r="O824"/>
      <c r="P824"/>
    </row>
    <row r="825" spans="1:16" ht="12" customHeight="1" x14ac:dyDescent="0.2">
      <c r="A825"/>
      <c r="B825"/>
      <c r="C825"/>
      <c r="H825"/>
      <c r="I825"/>
      <c r="J825" s="243"/>
      <c r="K825"/>
      <c r="L825"/>
      <c r="M825"/>
      <c r="N825"/>
      <c r="O825"/>
      <c r="P825"/>
    </row>
    <row r="826" spans="1:16" ht="12" customHeight="1" x14ac:dyDescent="0.2">
      <c r="A826"/>
      <c r="B826"/>
      <c r="C826"/>
      <c r="H826"/>
      <c r="I826"/>
      <c r="J826" s="243"/>
      <c r="K826"/>
      <c r="L826"/>
      <c r="M826"/>
      <c r="N826"/>
      <c r="O826"/>
      <c r="P826"/>
    </row>
    <row r="827" spans="1:16" ht="12" customHeight="1" x14ac:dyDescent="0.2">
      <c r="A827"/>
      <c r="B827"/>
      <c r="C827"/>
      <c r="H827"/>
      <c r="I827"/>
      <c r="J827" s="243"/>
      <c r="K827"/>
      <c r="L827"/>
      <c r="M827"/>
      <c r="N827"/>
      <c r="O827"/>
      <c r="P827"/>
    </row>
    <row r="828" spans="1:16" ht="12" customHeight="1" x14ac:dyDescent="0.2">
      <c r="A828"/>
      <c r="B828"/>
      <c r="C828"/>
      <c r="H828"/>
      <c r="I828"/>
      <c r="J828" s="243"/>
      <c r="K828"/>
      <c r="L828"/>
      <c r="M828"/>
      <c r="N828"/>
      <c r="O828"/>
      <c r="P828"/>
    </row>
    <row r="829" spans="1:16" ht="12" customHeight="1" x14ac:dyDescent="0.2">
      <c r="A829"/>
      <c r="B829"/>
      <c r="C829"/>
      <c r="H829"/>
      <c r="I829"/>
      <c r="J829" s="243"/>
      <c r="K829"/>
      <c r="L829"/>
      <c r="M829"/>
      <c r="N829"/>
      <c r="O829"/>
      <c r="P829"/>
    </row>
    <row r="830" spans="1:16" ht="12" customHeight="1" x14ac:dyDescent="0.2">
      <c r="A830"/>
      <c r="B830"/>
      <c r="C830"/>
      <c r="H830"/>
      <c r="I830"/>
      <c r="J830" s="243"/>
      <c r="K830"/>
      <c r="L830"/>
      <c r="M830"/>
      <c r="N830"/>
      <c r="O830"/>
      <c r="P830"/>
    </row>
    <row r="831" spans="1:16" x14ac:dyDescent="0.2">
      <c r="A831"/>
      <c r="B831"/>
      <c r="C831"/>
      <c r="H831"/>
      <c r="I831"/>
      <c r="J831" s="243"/>
      <c r="K831"/>
      <c r="L831"/>
      <c r="M831"/>
      <c r="N831"/>
      <c r="O831"/>
      <c r="P831"/>
    </row>
    <row r="832" spans="1:16" ht="15" customHeight="1" x14ac:dyDescent="0.2">
      <c r="A832"/>
      <c r="B832"/>
      <c r="C832"/>
      <c r="H832"/>
      <c r="I832"/>
      <c r="J832" s="243"/>
      <c r="K832"/>
      <c r="L832"/>
      <c r="M832"/>
      <c r="N832"/>
      <c r="O832"/>
      <c r="P832"/>
    </row>
    <row r="833" spans="1:16" x14ac:dyDescent="0.2">
      <c r="A833"/>
      <c r="B833"/>
      <c r="C833"/>
      <c r="H833"/>
      <c r="I833"/>
      <c r="J833" s="243"/>
      <c r="K833"/>
      <c r="L833"/>
      <c r="M833"/>
      <c r="N833"/>
      <c r="O833"/>
      <c r="P833"/>
    </row>
    <row r="834" spans="1:16" ht="15" customHeight="1" x14ac:dyDescent="0.2">
      <c r="A834"/>
      <c r="B834"/>
      <c r="C834"/>
      <c r="H834"/>
      <c r="I834"/>
      <c r="J834" s="243"/>
      <c r="K834"/>
      <c r="L834"/>
      <c r="M834"/>
      <c r="N834"/>
      <c r="O834"/>
      <c r="P834"/>
    </row>
    <row r="835" spans="1:16" ht="12" customHeight="1" x14ac:dyDescent="0.2">
      <c r="A835"/>
      <c r="B835"/>
      <c r="C835"/>
      <c r="H835"/>
      <c r="I835"/>
      <c r="J835" s="243"/>
      <c r="K835"/>
      <c r="L835"/>
      <c r="M835"/>
      <c r="N835"/>
      <c r="O835"/>
      <c r="P835"/>
    </row>
    <row r="836" spans="1:16" ht="12" customHeight="1" x14ac:dyDescent="0.2">
      <c r="A836"/>
      <c r="B836"/>
      <c r="C836"/>
      <c r="H836"/>
      <c r="I836"/>
      <c r="J836" s="243"/>
      <c r="K836"/>
      <c r="L836"/>
      <c r="M836"/>
      <c r="N836"/>
      <c r="O836"/>
      <c r="P836"/>
    </row>
    <row r="837" spans="1:16" x14ac:dyDescent="0.2">
      <c r="A837"/>
      <c r="B837"/>
      <c r="C837"/>
      <c r="H837"/>
      <c r="I837"/>
      <c r="J837" s="243"/>
      <c r="K837"/>
      <c r="L837"/>
      <c r="M837"/>
      <c r="N837"/>
      <c r="O837"/>
      <c r="P837"/>
    </row>
    <row r="838" spans="1:16" ht="12" customHeight="1" x14ac:dyDescent="0.2">
      <c r="A838"/>
      <c r="B838"/>
      <c r="C838"/>
      <c r="H838"/>
      <c r="I838"/>
      <c r="J838" s="243"/>
      <c r="K838"/>
      <c r="L838"/>
      <c r="M838"/>
      <c r="N838"/>
      <c r="O838"/>
      <c r="P838"/>
    </row>
    <row r="839" spans="1:16" ht="12" customHeight="1" x14ac:dyDescent="0.2">
      <c r="A839"/>
      <c r="B839"/>
      <c r="C839"/>
      <c r="H839"/>
      <c r="I839"/>
      <c r="J839" s="243"/>
      <c r="K839"/>
      <c r="L839"/>
      <c r="M839"/>
      <c r="N839"/>
      <c r="O839"/>
      <c r="P839"/>
    </row>
    <row r="840" spans="1:16" x14ac:dyDescent="0.2">
      <c r="A840"/>
      <c r="B840"/>
      <c r="C840"/>
      <c r="H840"/>
      <c r="I840"/>
      <c r="J840" s="243"/>
      <c r="K840"/>
      <c r="L840"/>
      <c r="M840"/>
      <c r="N840"/>
      <c r="O840"/>
      <c r="P840"/>
    </row>
    <row r="841" spans="1:16" ht="12" customHeight="1" x14ac:dyDescent="0.2">
      <c r="A841"/>
      <c r="B841"/>
      <c r="C841"/>
      <c r="H841"/>
      <c r="I841"/>
      <c r="J841" s="243"/>
      <c r="K841"/>
      <c r="L841"/>
      <c r="M841"/>
      <c r="N841"/>
      <c r="O841"/>
      <c r="P841"/>
    </row>
    <row r="842" spans="1:16" ht="12" customHeight="1" x14ac:dyDescent="0.2">
      <c r="A842"/>
      <c r="B842"/>
      <c r="C842"/>
      <c r="H842"/>
      <c r="I842"/>
      <c r="J842" s="243"/>
      <c r="K842"/>
      <c r="L842"/>
      <c r="M842"/>
      <c r="N842"/>
      <c r="O842"/>
      <c r="P842"/>
    </row>
    <row r="843" spans="1:16" ht="12" customHeight="1" x14ac:dyDescent="0.2">
      <c r="A843"/>
      <c r="B843"/>
      <c r="C843"/>
      <c r="H843"/>
      <c r="I843"/>
      <c r="J843" s="243"/>
      <c r="K843"/>
      <c r="L843"/>
      <c r="M843"/>
      <c r="N843"/>
      <c r="O843"/>
      <c r="P843"/>
    </row>
    <row r="844" spans="1:16" ht="12" customHeight="1" x14ac:dyDescent="0.2">
      <c r="A844"/>
      <c r="B844"/>
      <c r="C844"/>
      <c r="H844"/>
      <c r="I844"/>
      <c r="J844" s="243"/>
      <c r="K844"/>
      <c r="L844"/>
      <c r="M844"/>
      <c r="N844"/>
      <c r="O844"/>
      <c r="P844"/>
    </row>
    <row r="845" spans="1:16" x14ac:dyDescent="0.2">
      <c r="A845"/>
      <c r="B845"/>
      <c r="C845"/>
      <c r="H845"/>
      <c r="I845"/>
      <c r="J845" s="243"/>
      <c r="K845"/>
      <c r="L845"/>
      <c r="M845"/>
      <c r="N845"/>
      <c r="O845"/>
      <c r="P845"/>
    </row>
    <row r="846" spans="1:16" x14ac:dyDescent="0.2">
      <c r="A846"/>
      <c r="B846"/>
      <c r="C846"/>
      <c r="H846"/>
      <c r="I846"/>
      <c r="J846" s="243"/>
      <c r="K846"/>
      <c r="L846"/>
      <c r="M846"/>
      <c r="N846"/>
      <c r="O846"/>
      <c r="P846"/>
    </row>
    <row r="847" spans="1:16" x14ac:dyDescent="0.2">
      <c r="A847"/>
      <c r="B847"/>
      <c r="C847"/>
      <c r="H847"/>
      <c r="I847"/>
      <c r="J847" s="243"/>
      <c r="K847"/>
      <c r="L847"/>
      <c r="M847"/>
      <c r="N847"/>
      <c r="O847"/>
      <c r="P847"/>
    </row>
    <row r="848" spans="1:16" ht="12" customHeight="1" x14ac:dyDescent="0.2">
      <c r="A848"/>
      <c r="B848"/>
      <c r="C848"/>
      <c r="H848"/>
      <c r="I848"/>
      <c r="J848" s="243"/>
      <c r="K848"/>
      <c r="L848"/>
      <c r="M848"/>
      <c r="N848"/>
      <c r="O848"/>
      <c r="P848"/>
    </row>
    <row r="849" spans="1:16" ht="12" customHeight="1" x14ac:dyDescent="0.2">
      <c r="A849"/>
      <c r="B849"/>
      <c r="C849"/>
      <c r="H849"/>
      <c r="I849"/>
      <c r="J849" s="243"/>
      <c r="K849"/>
      <c r="L849"/>
      <c r="M849"/>
      <c r="N849"/>
      <c r="O849"/>
      <c r="P849"/>
    </row>
    <row r="850" spans="1:16" ht="12" customHeight="1" x14ac:dyDescent="0.2">
      <c r="A850"/>
      <c r="B850"/>
      <c r="C850"/>
      <c r="H850"/>
      <c r="I850"/>
      <c r="J850" s="243"/>
      <c r="K850"/>
      <c r="L850"/>
      <c r="M850"/>
      <c r="N850"/>
      <c r="O850"/>
      <c r="P850"/>
    </row>
    <row r="851" spans="1:16" ht="12" customHeight="1" x14ac:dyDescent="0.2">
      <c r="A851"/>
      <c r="B851"/>
      <c r="C851"/>
      <c r="H851"/>
      <c r="I851"/>
      <c r="J851" s="243"/>
      <c r="K851"/>
      <c r="L851"/>
      <c r="M851"/>
      <c r="N851"/>
      <c r="O851"/>
      <c r="P851"/>
    </row>
    <row r="852" spans="1:16" ht="12" customHeight="1" x14ac:dyDescent="0.2">
      <c r="A852"/>
      <c r="B852"/>
      <c r="C852"/>
      <c r="H852"/>
      <c r="I852"/>
      <c r="J852" s="243"/>
      <c r="K852"/>
      <c r="L852"/>
      <c r="M852"/>
      <c r="N852"/>
      <c r="O852"/>
      <c r="P852"/>
    </row>
    <row r="853" spans="1:16" ht="12" customHeight="1" x14ac:dyDescent="0.2">
      <c r="A853"/>
      <c r="B853"/>
      <c r="C853"/>
      <c r="H853"/>
      <c r="I853"/>
      <c r="J853" s="243"/>
      <c r="K853"/>
      <c r="L853"/>
      <c r="M853"/>
      <c r="N853"/>
      <c r="O853"/>
      <c r="P853"/>
    </row>
    <row r="854" spans="1:16" ht="12" customHeight="1" x14ac:dyDescent="0.2">
      <c r="A854"/>
      <c r="B854"/>
      <c r="C854"/>
      <c r="H854"/>
      <c r="I854"/>
      <c r="J854" s="243"/>
      <c r="K854"/>
      <c r="L854"/>
      <c r="M854"/>
      <c r="N854"/>
      <c r="O854"/>
      <c r="P854"/>
    </row>
    <row r="855" spans="1:16" ht="12" customHeight="1" x14ac:dyDescent="0.2">
      <c r="A855"/>
      <c r="B855"/>
      <c r="C855"/>
      <c r="H855"/>
      <c r="I855"/>
      <c r="J855" s="243"/>
      <c r="K855"/>
      <c r="L855"/>
      <c r="M855"/>
      <c r="N855"/>
      <c r="O855"/>
      <c r="P855"/>
    </row>
    <row r="856" spans="1:16" ht="12" customHeight="1" x14ac:dyDescent="0.2">
      <c r="A856"/>
      <c r="B856"/>
      <c r="C856"/>
      <c r="H856"/>
      <c r="I856"/>
      <c r="J856" s="243"/>
      <c r="K856"/>
      <c r="L856"/>
      <c r="M856"/>
      <c r="N856"/>
      <c r="O856"/>
      <c r="P856"/>
    </row>
    <row r="857" spans="1:16" x14ac:dyDescent="0.2">
      <c r="A857"/>
      <c r="B857"/>
      <c r="C857"/>
      <c r="H857"/>
      <c r="I857"/>
      <c r="J857" s="243"/>
      <c r="K857"/>
      <c r="L857"/>
      <c r="M857"/>
      <c r="N857"/>
      <c r="O857"/>
      <c r="P857"/>
    </row>
    <row r="858" spans="1:16" x14ac:dyDescent="0.2">
      <c r="A858"/>
      <c r="B858"/>
      <c r="C858"/>
      <c r="H858"/>
      <c r="I858"/>
      <c r="J858" s="243"/>
      <c r="K858"/>
      <c r="L858"/>
      <c r="M858"/>
      <c r="N858"/>
      <c r="O858"/>
      <c r="P858"/>
    </row>
    <row r="859" spans="1:16" ht="12" customHeight="1" x14ac:dyDescent="0.2">
      <c r="A859"/>
      <c r="B859"/>
      <c r="C859"/>
      <c r="H859"/>
      <c r="I859"/>
      <c r="J859" s="243"/>
      <c r="K859"/>
      <c r="L859"/>
      <c r="M859"/>
      <c r="N859"/>
      <c r="O859"/>
      <c r="P859"/>
    </row>
    <row r="860" spans="1:16" ht="12" customHeight="1" x14ac:dyDescent="0.2">
      <c r="A860"/>
      <c r="B860"/>
      <c r="C860"/>
      <c r="H860"/>
      <c r="I860"/>
      <c r="J860" s="243"/>
      <c r="K860"/>
      <c r="L860"/>
      <c r="M860"/>
      <c r="N860"/>
      <c r="O860"/>
      <c r="P860"/>
    </row>
    <row r="861" spans="1:16" x14ac:dyDescent="0.2">
      <c r="A861"/>
      <c r="B861"/>
      <c r="C861"/>
      <c r="H861"/>
      <c r="I861"/>
      <c r="J861" s="243"/>
      <c r="K861"/>
      <c r="L861"/>
      <c r="M861"/>
      <c r="N861"/>
      <c r="O861"/>
      <c r="P861"/>
    </row>
    <row r="862" spans="1:16" x14ac:dyDescent="0.2">
      <c r="A862"/>
      <c r="B862"/>
      <c r="C862"/>
      <c r="H862"/>
      <c r="I862"/>
      <c r="J862" s="243"/>
      <c r="K862"/>
      <c r="L862"/>
      <c r="M862"/>
      <c r="N862"/>
      <c r="O862"/>
      <c r="P862"/>
    </row>
    <row r="863" spans="1:16" x14ac:dyDescent="0.2">
      <c r="A863"/>
      <c r="B863"/>
      <c r="C863"/>
      <c r="H863"/>
      <c r="I863"/>
      <c r="J863" s="243"/>
      <c r="K863"/>
      <c r="L863"/>
      <c r="M863"/>
      <c r="N863"/>
      <c r="O863"/>
      <c r="P863"/>
    </row>
    <row r="864" spans="1:16" ht="12" customHeight="1" x14ac:dyDescent="0.2">
      <c r="A864"/>
      <c r="B864"/>
      <c r="C864"/>
      <c r="H864"/>
      <c r="I864"/>
      <c r="J864" s="243"/>
      <c r="K864"/>
      <c r="L864"/>
      <c r="M864"/>
      <c r="N864"/>
      <c r="O864"/>
      <c r="P864"/>
    </row>
    <row r="865" spans="1:16" ht="12" customHeight="1" x14ac:dyDescent="0.2">
      <c r="A865"/>
      <c r="B865"/>
      <c r="C865"/>
      <c r="H865"/>
      <c r="I865"/>
      <c r="J865" s="243"/>
      <c r="K865"/>
      <c r="L865"/>
      <c r="M865"/>
      <c r="N865"/>
      <c r="O865"/>
      <c r="P865"/>
    </row>
    <row r="866" spans="1:16" ht="12" customHeight="1" x14ac:dyDescent="0.2">
      <c r="A866"/>
      <c r="B866"/>
      <c r="C866"/>
      <c r="H866"/>
      <c r="I866"/>
      <c r="J866" s="243"/>
      <c r="K866"/>
      <c r="L866"/>
      <c r="M866"/>
      <c r="N866"/>
      <c r="O866"/>
      <c r="P866"/>
    </row>
    <row r="867" spans="1:16" ht="12" customHeight="1" x14ac:dyDescent="0.2">
      <c r="A867"/>
      <c r="B867"/>
      <c r="C867"/>
      <c r="H867"/>
      <c r="I867"/>
      <c r="J867" s="243"/>
      <c r="K867"/>
      <c r="L867"/>
      <c r="M867"/>
      <c r="N867"/>
      <c r="O867"/>
      <c r="P867"/>
    </row>
    <row r="868" spans="1:16" ht="12" customHeight="1" x14ac:dyDescent="0.2">
      <c r="A868"/>
      <c r="B868"/>
      <c r="C868"/>
      <c r="H868"/>
      <c r="I868"/>
      <c r="J868" s="243"/>
      <c r="K868"/>
      <c r="L868"/>
      <c r="M868"/>
      <c r="N868"/>
      <c r="O868"/>
      <c r="P868"/>
    </row>
    <row r="869" spans="1:16" ht="12" customHeight="1" x14ac:dyDescent="0.2">
      <c r="A869"/>
      <c r="B869"/>
      <c r="C869"/>
      <c r="H869"/>
      <c r="I869"/>
      <c r="J869" s="243"/>
      <c r="K869"/>
      <c r="L869"/>
      <c r="M869"/>
      <c r="N869"/>
      <c r="O869"/>
      <c r="P869"/>
    </row>
    <row r="870" spans="1:16" ht="12" customHeight="1" x14ac:dyDescent="0.2">
      <c r="A870"/>
      <c r="B870"/>
      <c r="C870"/>
      <c r="H870"/>
      <c r="I870"/>
      <c r="J870" s="243"/>
      <c r="K870"/>
      <c r="L870"/>
      <c r="M870"/>
      <c r="N870"/>
      <c r="O870"/>
      <c r="P870"/>
    </row>
    <row r="871" spans="1:16" x14ac:dyDescent="0.2">
      <c r="A871"/>
      <c r="B871"/>
      <c r="C871"/>
      <c r="H871"/>
      <c r="I871"/>
      <c r="J871" s="243"/>
      <c r="K871"/>
      <c r="L871"/>
      <c r="M871"/>
      <c r="N871"/>
      <c r="O871"/>
      <c r="P871"/>
    </row>
    <row r="872" spans="1:16" ht="15" customHeight="1" x14ac:dyDescent="0.2">
      <c r="A872"/>
      <c r="B872"/>
      <c r="C872"/>
      <c r="H872"/>
      <c r="I872"/>
      <c r="J872" s="243"/>
      <c r="K872"/>
      <c r="L872"/>
      <c r="M872"/>
      <c r="N872"/>
      <c r="O872"/>
      <c r="P872"/>
    </row>
    <row r="873" spans="1:16" ht="15" customHeight="1" x14ac:dyDescent="0.2">
      <c r="A873"/>
      <c r="B873"/>
      <c r="C873"/>
      <c r="H873"/>
      <c r="I873"/>
      <c r="J873" s="243"/>
      <c r="K873"/>
      <c r="L873"/>
      <c r="M873"/>
      <c r="N873"/>
      <c r="O873"/>
      <c r="P873"/>
    </row>
    <row r="874" spans="1:16" ht="15" customHeight="1" x14ac:dyDescent="0.2">
      <c r="A874"/>
      <c r="B874"/>
      <c r="C874"/>
      <c r="H874"/>
      <c r="I874"/>
      <c r="J874" s="243"/>
      <c r="K874"/>
      <c r="L874"/>
      <c r="M874"/>
      <c r="N874"/>
      <c r="O874"/>
      <c r="P874"/>
    </row>
    <row r="875" spans="1:16" ht="15" customHeight="1" x14ac:dyDescent="0.2">
      <c r="A875"/>
      <c r="B875"/>
      <c r="C875"/>
      <c r="H875"/>
      <c r="I875"/>
      <c r="J875" s="243"/>
      <c r="K875"/>
      <c r="L875"/>
      <c r="M875"/>
      <c r="N875"/>
      <c r="O875"/>
      <c r="P875"/>
    </row>
    <row r="876" spans="1:16" ht="15" customHeight="1" x14ac:dyDescent="0.2">
      <c r="A876"/>
      <c r="B876"/>
      <c r="C876"/>
      <c r="H876"/>
      <c r="I876"/>
      <c r="J876" s="243"/>
      <c r="K876"/>
      <c r="L876"/>
      <c r="M876"/>
      <c r="N876"/>
      <c r="O876"/>
      <c r="P876"/>
    </row>
    <row r="877" spans="1:16" ht="15" customHeight="1" x14ac:dyDescent="0.2">
      <c r="A877"/>
      <c r="B877"/>
      <c r="C877"/>
      <c r="H877"/>
      <c r="I877"/>
      <c r="J877" s="243"/>
      <c r="K877"/>
      <c r="L877"/>
      <c r="M877"/>
      <c r="N877"/>
      <c r="O877"/>
      <c r="P877"/>
    </row>
    <row r="878" spans="1:16" ht="15" customHeight="1" x14ac:dyDescent="0.2">
      <c r="A878"/>
      <c r="B878"/>
      <c r="C878"/>
      <c r="H878"/>
      <c r="I878"/>
      <c r="J878" s="243"/>
      <c r="K878"/>
      <c r="L878"/>
      <c r="M878"/>
      <c r="N878"/>
      <c r="O878"/>
      <c r="P878"/>
    </row>
    <row r="879" spans="1:16" ht="15" customHeight="1" x14ac:dyDescent="0.2">
      <c r="A879"/>
      <c r="B879"/>
      <c r="C879"/>
      <c r="H879"/>
      <c r="I879"/>
      <c r="J879" s="243"/>
      <c r="K879"/>
      <c r="L879"/>
      <c r="M879"/>
      <c r="N879"/>
      <c r="O879"/>
      <c r="P879"/>
    </row>
    <row r="880" spans="1:16" ht="15" customHeight="1" x14ac:dyDescent="0.2">
      <c r="A880"/>
      <c r="B880"/>
      <c r="C880"/>
      <c r="H880"/>
      <c r="I880"/>
      <c r="J880" s="243"/>
      <c r="K880"/>
      <c r="L880"/>
      <c r="M880"/>
      <c r="N880"/>
      <c r="O880"/>
      <c r="P880"/>
    </row>
    <row r="881" spans="1:16" ht="15" customHeight="1" x14ac:dyDescent="0.2">
      <c r="A881"/>
      <c r="B881"/>
      <c r="C881"/>
      <c r="H881"/>
      <c r="I881"/>
      <c r="J881" s="243"/>
      <c r="K881"/>
      <c r="L881"/>
      <c r="M881"/>
      <c r="N881"/>
      <c r="O881"/>
      <c r="P881"/>
    </row>
    <row r="882" spans="1:16" ht="15" customHeight="1" x14ac:dyDescent="0.2">
      <c r="A882"/>
      <c r="B882"/>
      <c r="C882"/>
      <c r="H882"/>
      <c r="I882"/>
      <c r="J882" s="243"/>
      <c r="K882"/>
      <c r="L882"/>
      <c r="M882"/>
      <c r="N882"/>
      <c r="O882"/>
      <c r="P882"/>
    </row>
    <row r="883" spans="1:16" ht="15" customHeight="1" x14ac:dyDescent="0.2">
      <c r="A883"/>
      <c r="B883"/>
      <c r="C883"/>
      <c r="H883"/>
      <c r="I883"/>
      <c r="J883" s="243"/>
      <c r="K883"/>
      <c r="L883"/>
      <c r="M883"/>
      <c r="N883"/>
      <c r="O883"/>
      <c r="P883"/>
    </row>
    <row r="884" spans="1:16" ht="15" customHeight="1" x14ac:dyDescent="0.2">
      <c r="A884"/>
      <c r="B884"/>
      <c r="C884"/>
      <c r="H884"/>
      <c r="I884"/>
      <c r="J884" s="243"/>
      <c r="K884"/>
      <c r="L884"/>
      <c r="M884"/>
      <c r="N884"/>
      <c r="O884"/>
      <c r="P884"/>
    </row>
    <row r="885" spans="1:16" ht="15" customHeight="1" x14ac:dyDescent="0.2">
      <c r="A885"/>
      <c r="B885"/>
      <c r="C885"/>
      <c r="H885"/>
      <c r="I885"/>
      <c r="J885" s="243"/>
      <c r="K885"/>
      <c r="L885"/>
      <c r="M885"/>
      <c r="N885"/>
      <c r="O885"/>
      <c r="P885"/>
    </row>
    <row r="886" spans="1:16" ht="15" customHeight="1" x14ac:dyDescent="0.2">
      <c r="A886"/>
      <c r="B886"/>
      <c r="C886"/>
      <c r="H886"/>
      <c r="I886"/>
      <c r="J886" s="243"/>
      <c r="K886"/>
      <c r="L886"/>
      <c r="M886"/>
      <c r="N886"/>
      <c r="O886"/>
      <c r="P886"/>
    </row>
    <row r="887" spans="1:16" x14ac:dyDescent="0.2">
      <c r="A887"/>
      <c r="B887"/>
      <c r="C887"/>
      <c r="H887"/>
      <c r="I887"/>
      <c r="J887" s="243"/>
      <c r="K887"/>
      <c r="L887"/>
      <c r="M887"/>
      <c r="N887"/>
      <c r="O887"/>
      <c r="P887"/>
    </row>
    <row r="888" spans="1:16" ht="13.5" customHeight="1" x14ac:dyDescent="0.2">
      <c r="A888"/>
      <c r="B888"/>
      <c r="C888"/>
      <c r="H888"/>
      <c r="I888"/>
      <c r="J888" s="243"/>
      <c r="K888"/>
      <c r="L888"/>
      <c r="M888"/>
      <c r="N888"/>
      <c r="O888"/>
      <c r="P888"/>
    </row>
    <row r="889" spans="1:16" ht="34.5" customHeight="1" x14ac:dyDescent="0.2">
      <c r="A889"/>
      <c r="B889"/>
      <c r="C889"/>
      <c r="H889"/>
      <c r="I889"/>
      <c r="J889" s="243"/>
      <c r="K889"/>
      <c r="L889"/>
      <c r="M889"/>
      <c r="N889"/>
      <c r="O889"/>
      <c r="P889"/>
    </row>
    <row r="890" spans="1:16" ht="33" customHeight="1" x14ac:dyDescent="0.2">
      <c r="A890"/>
      <c r="B890"/>
      <c r="C890"/>
      <c r="H890"/>
      <c r="I890"/>
      <c r="J890" s="243"/>
      <c r="K890"/>
      <c r="L890"/>
      <c r="M890"/>
      <c r="N890"/>
      <c r="O890"/>
      <c r="P890"/>
    </row>
    <row r="891" spans="1:16" ht="19.5" customHeight="1" x14ac:dyDescent="0.2">
      <c r="A891"/>
      <c r="B891"/>
      <c r="C891"/>
      <c r="H891"/>
      <c r="I891"/>
      <c r="J891" s="243"/>
      <c r="K891"/>
      <c r="L891"/>
      <c r="M891"/>
      <c r="N891"/>
      <c r="O891"/>
      <c r="P891"/>
    </row>
    <row r="892" spans="1:16" x14ac:dyDescent="0.2">
      <c r="A892"/>
      <c r="B892"/>
      <c r="C892"/>
      <c r="H892"/>
      <c r="I892"/>
      <c r="J892" s="243"/>
      <c r="K892"/>
      <c r="L892"/>
      <c r="M892"/>
      <c r="N892"/>
      <c r="O892"/>
      <c r="P892"/>
    </row>
    <row r="893" spans="1:16" x14ac:dyDescent="0.2">
      <c r="A893"/>
      <c r="B893"/>
      <c r="C893"/>
      <c r="H893"/>
      <c r="I893"/>
      <c r="J893" s="243"/>
      <c r="K893"/>
      <c r="L893"/>
      <c r="M893"/>
      <c r="N893"/>
      <c r="O893"/>
      <c r="P893"/>
    </row>
    <row r="894" spans="1:16" ht="12" customHeight="1" x14ac:dyDescent="0.2">
      <c r="A894"/>
      <c r="B894"/>
      <c r="C894"/>
      <c r="H894"/>
      <c r="I894"/>
      <c r="J894" s="243"/>
      <c r="K894"/>
      <c r="L894"/>
      <c r="M894"/>
      <c r="N894"/>
      <c r="O894"/>
      <c r="P894"/>
    </row>
    <row r="895" spans="1:16" ht="12" customHeight="1" x14ac:dyDescent="0.2">
      <c r="A895"/>
      <c r="B895"/>
      <c r="C895"/>
      <c r="H895"/>
      <c r="I895"/>
      <c r="J895" s="243"/>
      <c r="K895"/>
      <c r="L895"/>
      <c r="M895"/>
      <c r="N895"/>
      <c r="O895"/>
      <c r="P895"/>
    </row>
    <row r="896" spans="1:16" ht="12" customHeight="1" x14ac:dyDescent="0.2">
      <c r="A896"/>
      <c r="B896"/>
      <c r="C896"/>
      <c r="H896"/>
      <c r="I896"/>
      <c r="J896" s="243"/>
      <c r="K896"/>
      <c r="L896"/>
      <c r="M896"/>
      <c r="N896"/>
      <c r="O896"/>
      <c r="P896"/>
    </row>
    <row r="897" spans="1:18" s="485" customFormat="1" ht="14.25" customHeight="1" x14ac:dyDescent="0.2">
      <c r="J897" s="540"/>
      <c r="R897" s="1008"/>
    </row>
    <row r="898" spans="1:18" s="485" customFormat="1" ht="14.25" customHeight="1" x14ac:dyDescent="0.2">
      <c r="J898" s="540"/>
      <c r="R898" s="1008"/>
    </row>
    <row r="899" spans="1:18" ht="15" customHeight="1" x14ac:dyDescent="0.2">
      <c r="A899"/>
      <c r="B899"/>
      <c r="C899"/>
      <c r="H899"/>
      <c r="I899"/>
      <c r="J899" s="243"/>
      <c r="K899"/>
      <c r="L899"/>
      <c r="M899"/>
      <c r="N899"/>
      <c r="O899"/>
      <c r="P899"/>
    </row>
    <row r="900" spans="1:18" x14ac:dyDescent="0.2">
      <c r="A900"/>
      <c r="B900"/>
      <c r="C900"/>
      <c r="H900"/>
      <c r="I900"/>
      <c r="J900" s="243"/>
      <c r="K900"/>
      <c r="L900"/>
      <c r="M900"/>
      <c r="N900"/>
      <c r="O900"/>
      <c r="P900"/>
    </row>
    <row r="901" spans="1:18" ht="12" customHeight="1" x14ac:dyDescent="0.2">
      <c r="A901"/>
      <c r="B901"/>
      <c r="C901"/>
      <c r="H901"/>
      <c r="I901"/>
      <c r="J901" s="243"/>
      <c r="K901"/>
      <c r="L901"/>
      <c r="M901"/>
      <c r="N901"/>
      <c r="O901"/>
      <c r="P901"/>
    </row>
    <row r="902" spans="1:18" ht="12" customHeight="1" x14ac:dyDescent="0.2">
      <c r="A902"/>
      <c r="B902"/>
      <c r="C902"/>
      <c r="H902"/>
      <c r="I902"/>
      <c r="J902" s="243"/>
      <c r="K902"/>
      <c r="L902"/>
      <c r="M902"/>
      <c r="N902"/>
      <c r="O902"/>
      <c r="P902"/>
    </row>
    <row r="903" spans="1:18" x14ac:dyDescent="0.2">
      <c r="A903"/>
      <c r="B903"/>
      <c r="C903"/>
      <c r="H903"/>
      <c r="I903"/>
      <c r="J903" s="243"/>
      <c r="K903"/>
      <c r="L903"/>
      <c r="M903"/>
      <c r="N903"/>
      <c r="O903"/>
      <c r="P903"/>
    </row>
    <row r="904" spans="1:18" s="485" customFormat="1" ht="23.25" customHeight="1" x14ac:dyDescent="0.2">
      <c r="J904" s="540"/>
      <c r="R904" s="1008"/>
    </row>
    <row r="905" spans="1:18" s="485" customFormat="1" ht="23.25" customHeight="1" x14ac:dyDescent="0.2">
      <c r="J905" s="540"/>
      <c r="R905" s="1008"/>
    </row>
    <row r="906" spans="1:18" s="485" customFormat="1" ht="21.75" customHeight="1" x14ac:dyDescent="0.2">
      <c r="J906" s="540"/>
      <c r="R906" s="1008"/>
    </row>
    <row r="907" spans="1:18" ht="12" customHeight="1" x14ac:dyDescent="0.2">
      <c r="A907"/>
      <c r="B907"/>
      <c r="C907"/>
      <c r="H907"/>
      <c r="I907"/>
      <c r="J907" s="243"/>
      <c r="K907"/>
      <c r="L907"/>
      <c r="M907"/>
      <c r="N907"/>
      <c r="O907"/>
      <c r="P907"/>
    </row>
    <row r="908" spans="1:18" s="485" customFormat="1" ht="23.25" customHeight="1" x14ac:dyDescent="0.2">
      <c r="J908" s="540"/>
      <c r="R908" s="1008"/>
    </row>
    <row r="909" spans="1:18" x14ac:dyDescent="0.2">
      <c r="A909"/>
      <c r="B909"/>
      <c r="C909"/>
      <c r="H909"/>
      <c r="I909"/>
      <c r="J909" s="243"/>
      <c r="K909"/>
      <c r="L909"/>
      <c r="M909"/>
      <c r="N909"/>
      <c r="O909"/>
      <c r="P909"/>
    </row>
    <row r="910" spans="1:18" ht="12" customHeight="1" x14ac:dyDescent="0.2">
      <c r="A910"/>
      <c r="B910"/>
      <c r="C910"/>
      <c r="H910"/>
      <c r="I910"/>
      <c r="J910" s="243"/>
      <c r="K910"/>
      <c r="L910"/>
      <c r="M910"/>
      <c r="N910"/>
      <c r="O910"/>
      <c r="P910"/>
    </row>
    <row r="911" spans="1:18" ht="12" customHeight="1" x14ac:dyDescent="0.2">
      <c r="A911"/>
      <c r="B911"/>
      <c r="C911"/>
      <c r="H911"/>
      <c r="I911"/>
      <c r="J911" s="243"/>
      <c r="K911"/>
      <c r="L911"/>
      <c r="M911"/>
      <c r="N911"/>
      <c r="O911"/>
      <c r="P911"/>
    </row>
    <row r="912" spans="1:18" ht="12" customHeight="1" x14ac:dyDescent="0.2">
      <c r="A912"/>
      <c r="B912"/>
      <c r="C912"/>
      <c r="H912"/>
      <c r="I912"/>
      <c r="J912" s="243"/>
      <c r="K912"/>
      <c r="L912"/>
      <c r="M912"/>
      <c r="N912"/>
      <c r="O912"/>
      <c r="P912"/>
    </row>
    <row r="913" spans="1:16" ht="12" customHeight="1" x14ac:dyDescent="0.2">
      <c r="A913"/>
      <c r="B913"/>
      <c r="C913"/>
      <c r="H913"/>
      <c r="I913"/>
      <c r="J913" s="243"/>
      <c r="K913"/>
      <c r="L913"/>
      <c r="M913"/>
      <c r="N913"/>
      <c r="O913"/>
      <c r="P913"/>
    </row>
    <row r="914" spans="1:16" ht="12" customHeight="1" x14ac:dyDescent="0.2">
      <c r="A914"/>
      <c r="B914"/>
      <c r="C914"/>
      <c r="H914"/>
      <c r="I914"/>
      <c r="J914" s="243"/>
      <c r="K914"/>
      <c r="L914"/>
      <c r="M914"/>
      <c r="N914"/>
      <c r="O914"/>
      <c r="P914"/>
    </row>
    <row r="915" spans="1:16" ht="12" customHeight="1" x14ac:dyDescent="0.2">
      <c r="A915"/>
      <c r="B915"/>
      <c r="C915"/>
      <c r="H915"/>
      <c r="I915"/>
      <c r="J915" s="243"/>
      <c r="K915"/>
      <c r="L915"/>
      <c r="M915"/>
      <c r="N915"/>
      <c r="O915"/>
      <c r="P915"/>
    </row>
    <row r="916" spans="1:16" ht="12" customHeight="1" x14ac:dyDescent="0.2">
      <c r="A916"/>
      <c r="B916"/>
      <c r="C916"/>
      <c r="H916"/>
      <c r="I916"/>
      <c r="J916" s="243"/>
      <c r="K916"/>
      <c r="L916"/>
      <c r="M916"/>
      <c r="N916"/>
      <c r="O916"/>
      <c r="P916"/>
    </row>
    <row r="917" spans="1:16" ht="12" customHeight="1" x14ac:dyDescent="0.2">
      <c r="A917"/>
      <c r="B917"/>
      <c r="C917"/>
      <c r="H917"/>
      <c r="I917"/>
      <c r="J917" s="243"/>
      <c r="K917"/>
      <c r="L917"/>
      <c r="M917"/>
      <c r="N917"/>
      <c r="O917"/>
      <c r="P917"/>
    </row>
    <row r="918" spans="1:16" ht="12" customHeight="1" x14ac:dyDescent="0.2">
      <c r="A918"/>
      <c r="B918"/>
      <c r="C918"/>
      <c r="H918"/>
      <c r="I918"/>
      <c r="J918" s="243"/>
      <c r="K918"/>
      <c r="L918"/>
      <c r="M918"/>
      <c r="N918"/>
      <c r="O918"/>
      <c r="P918"/>
    </row>
    <row r="919" spans="1:16" ht="12" customHeight="1" x14ac:dyDescent="0.2">
      <c r="A919"/>
      <c r="B919"/>
      <c r="C919"/>
      <c r="H919"/>
      <c r="I919"/>
      <c r="J919" s="243"/>
      <c r="K919"/>
      <c r="L919"/>
      <c r="M919"/>
      <c r="N919"/>
      <c r="O919"/>
      <c r="P919"/>
    </row>
    <row r="920" spans="1:16" ht="12" customHeight="1" x14ac:dyDescent="0.2">
      <c r="A920"/>
      <c r="B920"/>
      <c r="C920"/>
      <c r="H920"/>
      <c r="I920"/>
      <c r="J920" s="243"/>
      <c r="K920"/>
      <c r="L920"/>
      <c r="M920"/>
      <c r="N920"/>
      <c r="O920"/>
      <c r="P920"/>
    </row>
    <row r="921" spans="1:16" ht="12" customHeight="1" x14ac:dyDescent="0.2">
      <c r="A921"/>
      <c r="B921"/>
      <c r="C921"/>
      <c r="H921"/>
      <c r="I921"/>
      <c r="J921" s="243"/>
      <c r="K921"/>
      <c r="L921"/>
      <c r="M921"/>
      <c r="N921"/>
      <c r="O921"/>
      <c r="P921"/>
    </row>
    <row r="922" spans="1:16" ht="12" customHeight="1" x14ac:dyDescent="0.2">
      <c r="A922"/>
      <c r="B922"/>
      <c r="C922"/>
      <c r="H922"/>
      <c r="I922"/>
      <c r="J922" s="243"/>
      <c r="K922"/>
      <c r="L922"/>
      <c r="M922"/>
      <c r="N922"/>
      <c r="O922"/>
      <c r="P922"/>
    </row>
    <row r="923" spans="1:16" ht="12" customHeight="1" x14ac:dyDescent="0.2">
      <c r="A923"/>
      <c r="B923"/>
      <c r="C923"/>
      <c r="H923"/>
      <c r="I923"/>
      <c r="J923" s="243"/>
      <c r="K923"/>
      <c r="L923"/>
      <c r="M923"/>
      <c r="N923"/>
      <c r="O923"/>
      <c r="P923"/>
    </row>
    <row r="924" spans="1:16" ht="12" customHeight="1" x14ac:dyDescent="0.2">
      <c r="A924"/>
      <c r="B924"/>
      <c r="C924"/>
      <c r="H924"/>
      <c r="I924"/>
      <c r="J924" s="243"/>
      <c r="K924"/>
      <c r="L924"/>
      <c r="M924"/>
      <c r="N924"/>
      <c r="O924"/>
      <c r="P924"/>
    </row>
    <row r="925" spans="1:16" ht="12" customHeight="1" x14ac:dyDescent="0.2">
      <c r="A925"/>
      <c r="B925"/>
      <c r="C925"/>
      <c r="H925"/>
      <c r="I925"/>
      <c r="J925" s="243"/>
      <c r="K925"/>
      <c r="L925"/>
      <c r="M925"/>
      <c r="N925"/>
      <c r="O925"/>
      <c r="P925"/>
    </row>
    <row r="926" spans="1:16" ht="12" customHeight="1" x14ac:dyDescent="0.2">
      <c r="A926"/>
      <c r="B926"/>
      <c r="C926"/>
      <c r="H926"/>
      <c r="I926"/>
      <c r="J926" s="243"/>
      <c r="K926"/>
      <c r="L926"/>
      <c r="M926"/>
      <c r="N926"/>
      <c r="O926"/>
      <c r="P926"/>
    </row>
    <row r="927" spans="1:16" ht="12" customHeight="1" x14ac:dyDescent="0.2">
      <c r="A927"/>
      <c r="B927"/>
      <c r="C927"/>
      <c r="H927"/>
      <c r="I927"/>
      <c r="J927" s="243"/>
      <c r="K927"/>
      <c r="L927"/>
      <c r="M927"/>
      <c r="N927"/>
      <c r="O927"/>
      <c r="P927"/>
    </row>
    <row r="928" spans="1:16" ht="12" customHeight="1" x14ac:dyDescent="0.2">
      <c r="A928"/>
      <c r="B928"/>
      <c r="C928"/>
      <c r="H928"/>
      <c r="I928"/>
      <c r="J928" s="243"/>
      <c r="K928"/>
      <c r="L928"/>
      <c r="M928"/>
      <c r="N928"/>
      <c r="O928"/>
      <c r="P928"/>
    </row>
    <row r="929" spans="1:16" ht="12" customHeight="1" x14ac:dyDescent="0.2">
      <c r="A929"/>
      <c r="B929"/>
      <c r="C929"/>
      <c r="H929"/>
      <c r="I929"/>
      <c r="J929" s="243"/>
      <c r="K929"/>
      <c r="L929"/>
      <c r="M929"/>
      <c r="N929"/>
      <c r="O929"/>
      <c r="P929"/>
    </row>
    <row r="930" spans="1:16" ht="12" customHeight="1" x14ac:dyDescent="0.2">
      <c r="A930"/>
      <c r="B930"/>
      <c r="C930"/>
      <c r="H930"/>
      <c r="I930"/>
      <c r="J930" s="243"/>
      <c r="K930"/>
      <c r="L930"/>
      <c r="M930"/>
      <c r="N930"/>
      <c r="O930"/>
      <c r="P930"/>
    </row>
    <row r="931" spans="1:16" ht="12" customHeight="1" x14ac:dyDescent="0.2">
      <c r="A931"/>
      <c r="B931"/>
      <c r="C931"/>
      <c r="H931"/>
      <c r="I931"/>
      <c r="J931" s="243"/>
      <c r="K931"/>
      <c r="L931"/>
      <c r="M931"/>
      <c r="N931"/>
      <c r="O931"/>
      <c r="P931"/>
    </row>
    <row r="932" spans="1:16" ht="12" customHeight="1" x14ac:dyDescent="0.2">
      <c r="A932"/>
      <c r="B932"/>
      <c r="C932"/>
      <c r="H932"/>
      <c r="I932"/>
      <c r="J932" s="243"/>
      <c r="K932"/>
      <c r="L932"/>
      <c r="M932"/>
      <c r="N932"/>
      <c r="O932"/>
      <c r="P932"/>
    </row>
    <row r="933" spans="1:16" ht="12" customHeight="1" x14ac:dyDescent="0.2">
      <c r="A933"/>
      <c r="B933"/>
      <c r="C933"/>
      <c r="H933"/>
      <c r="I933"/>
      <c r="J933" s="243"/>
      <c r="K933"/>
      <c r="L933"/>
      <c r="M933"/>
      <c r="N933"/>
      <c r="O933"/>
      <c r="P933"/>
    </row>
    <row r="934" spans="1:16" ht="12" customHeight="1" x14ac:dyDescent="0.2">
      <c r="A934"/>
      <c r="B934"/>
      <c r="C934"/>
      <c r="H934"/>
      <c r="I934"/>
      <c r="J934" s="243"/>
      <c r="K934"/>
      <c r="L934"/>
      <c r="M934"/>
      <c r="N934"/>
      <c r="O934"/>
      <c r="P934"/>
    </row>
    <row r="935" spans="1:16" ht="12" customHeight="1" x14ac:dyDescent="0.2">
      <c r="A935"/>
      <c r="B935"/>
      <c r="C935"/>
      <c r="H935"/>
      <c r="I935"/>
      <c r="J935" s="243"/>
      <c r="K935"/>
      <c r="L935"/>
      <c r="M935"/>
      <c r="N935"/>
      <c r="O935"/>
      <c r="P935"/>
    </row>
    <row r="936" spans="1:16" ht="12" customHeight="1" x14ac:dyDescent="0.2">
      <c r="A936"/>
      <c r="B936"/>
      <c r="C936"/>
      <c r="H936"/>
      <c r="I936"/>
      <c r="J936" s="243"/>
      <c r="K936"/>
      <c r="L936"/>
      <c r="M936"/>
      <c r="N936"/>
      <c r="O936"/>
      <c r="P936"/>
    </row>
    <row r="937" spans="1:16" ht="12" customHeight="1" x14ac:dyDescent="0.2">
      <c r="A937"/>
      <c r="B937"/>
      <c r="C937"/>
      <c r="H937"/>
      <c r="I937"/>
      <c r="J937" s="243"/>
      <c r="K937"/>
      <c r="L937"/>
      <c r="M937"/>
      <c r="N937"/>
      <c r="O937"/>
      <c r="P937"/>
    </row>
    <row r="938" spans="1:16" ht="12" customHeight="1" x14ac:dyDescent="0.2">
      <c r="A938"/>
      <c r="B938"/>
      <c r="C938"/>
      <c r="H938"/>
      <c r="I938"/>
      <c r="J938" s="243"/>
      <c r="K938"/>
      <c r="L938"/>
      <c r="M938"/>
      <c r="N938"/>
      <c r="O938"/>
      <c r="P938"/>
    </row>
    <row r="939" spans="1:16" ht="12" customHeight="1" x14ac:dyDescent="0.2">
      <c r="A939"/>
      <c r="B939"/>
      <c r="C939"/>
      <c r="H939"/>
      <c r="I939"/>
      <c r="J939" s="243"/>
      <c r="K939"/>
      <c r="L939"/>
      <c r="M939"/>
      <c r="N939"/>
      <c r="O939"/>
      <c r="P939"/>
    </row>
    <row r="940" spans="1:16" ht="12" customHeight="1" x14ac:dyDescent="0.2">
      <c r="A940"/>
      <c r="B940"/>
      <c r="C940"/>
      <c r="H940"/>
      <c r="I940"/>
      <c r="J940" s="243"/>
      <c r="K940"/>
      <c r="L940"/>
      <c r="M940"/>
      <c r="N940"/>
      <c r="O940"/>
      <c r="P940"/>
    </row>
    <row r="941" spans="1:16" ht="12" customHeight="1" x14ac:dyDescent="0.2">
      <c r="A941"/>
      <c r="B941"/>
      <c r="C941"/>
      <c r="H941"/>
      <c r="I941"/>
      <c r="J941" s="243"/>
      <c r="K941"/>
      <c r="L941"/>
      <c r="M941"/>
      <c r="N941"/>
      <c r="O941"/>
      <c r="P941"/>
    </row>
    <row r="942" spans="1:16" ht="12" customHeight="1" x14ac:dyDescent="0.2">
      <c r="A942"/>
      <c r="B942"/>
      <c r="C942"/>
      <c r="H942"/>
      <c r="I942"/>
      <c r="J942" s="243"/>
      <c r="K942"/>
      <c r="L942"/>
      <c r="M942"/>
      <c r="N942"/>
      <c r="O942"/>
      <c r="P942"/>
    </row>
    <row r="943" spans="1:16" ht="12" customHeight="1" x14ac:dyDescent="0.2">
      <c r="A943"/>
      <c r="B943"/>
      <c r="C943"/>
      <c r="H943"/>
      <c r="I943"/>
      <c r="J943" s="243"/>
      <c r="K943"/>
      <c r="L943"/>
      <c r="M943"/>
      <c r="N943"/>
      <c r="O943"/>
      <c r="P943"/>
    </row>
    <row r="944" spans="1:16" ht="15" customHeight="1" x14ac:dyDescent="0.2">
      <c r="A944"/>
      <c r="B944"/>
      <c r="C944"/>
      <c r="H944"/>
      <c r="I944"/>
      <c r="J944" s="243"/>
      <c r="K944"/>
      <c r="L944"/>
      <c r="M944"/>
      <c r="N944"/>
      <c r="O944"/>
      <c r="P944"/>
    </row>
    <row r="945" spans="1:16" ht="12" customHeight="1" x14ac:dyDescent="0.2">
      <c r="A945"/>
      <c r="B945"/>
      <c r="C945"/>
      <c r="H945"/>
      <c r="I945"/>
      <c r="J945" s="243"/>
      <c r="K945"/>
      <c r="L945"/>
      <c r="M945"/>
      <c r="N945"/>
      <c r="O945"/>
      <c r="P945"/>
    </row>
    <row r="946" spans="1:16" ht="12" customHeight="1" x14ac:dyDescent="0.2">
      <c r="A946"/>
      <c r="B946"/>
      <c r="C946"/>
      <c r="H946"/>
      <c r="I946"/>
      <c r="J946" s="243"/>
      <c r="K946"/>
      <c r="L946"/>
      <c r="M946"/>
      <c r="N946"/>
      <c r="O946"/>
      <c r="P946"/>
    </row>
    <row r="947" spans="1:16" ht="15" customHeight="1" x14ac:dyDescent="0.2">
      <c r="A947"/>
      <c r="B947"/>
      <c r="C947"/>
      <c r="H947"/>
      <c r="I947"/>
      <c r="J947" s="243"/>
      <c r="K947"/>
      <c r="L947"/>
      <c r="M947"/>
      <c r="N947"/>
      <c r="O947"/>
      <c r="P947"/>
    </row>
    <row r="948" spans="1:16" ht="12" customHeight="1" x14ac:dyDescent="0.2">
      <c r="A948"/>
      <c r="B948"/>
      <c r="C948"/>
      <c r="H948"/>
      <c r="I948"/>
      <c r="J948" s="243"/>
      <c r="K948"/>
      <c r="L948"/>
      <c r="M948"/>
      <c r="N948"/>
      <c r="O948"/>
      <c r="P948"/>
    </row>
    <row r="949" spans="1:16" ht="12" customHeight="1" x14ac:dyDescent="0.2">
      <c r="A949"/>
      <c r="B949"/>
      <c r="C949"/>
      <c r="H949"/>
      <c r="I949"/>
      <c r="J949" s="243"/>
      <c r="K949"/>
      <c r="L949"/>
      <c r="M949"/>
      <c r="N949"/>
      <c r="O949"/>
      <c r="P949"/>
    </row>
    <row r="950" spans="1:16" ht="12" customHeight="1" x14ac:dyDescent="0.2">
      <c r="A950"/>
      <c r="B950"/>
      <c r="C950"/>
      <c r="H950"/>
      <c r="I950"/>
      <c r="J950" s="243"/>
      <c r="K950"/>
      <c r="L950"/>
      <c r="M950"/>
      <c r="N950"/>
      <c r="O950"/>
      <c r="P950"/>
    </row>
    <row r="951" spans="1:16" ht="12" customHeight="1" x14ac:dyDescent="0.2">
      <c r="A951"/>
      <c r="B951"/>
      <c r="C951"/>
      <c r="H951"/>
      <c r="I951"/>
      <c r="J951" s="243"/>
      <c r="K951"/>
      <c r="L951"/>
      <c r="M951"/>
      <c r="N951"/>
      <c r="O951"/>
      <c r="P951"/>
    </row>
    <row r="952" spans="1:16" ht="12" customHeight="1" x14ac:dyDescent="0.2">
      <c r="A952"/>
      <c r="B952"/>
      <c r="C952"/>
      <c r="H952"/>
      <c r="I952"/>
      <c r="J952" s="243"/>
      <c r="K952"/>
      <c r="L952"/>
      <c r="M952"/>
      <c r="N952"/>
      <c r="O952"/>
      <c r="P952"/>
    </row>
    <row r="953" spans="1:16" ht="12" customHeight="1" x14ac:dyDescent="0.2">
      <c r="A953"/>
      <c r="B953"/>
      <c r="C953"/>
      <c r="H953"/>
      <c r="I953"/>
      <c r="J953" s="243"/>
      <c r="K953"/>
      <c r="L953"/>
      <c r="M953"/>
      <c r="N953"/>
      <c r="O953"/>
      <c r="P953"/>
    </row>
    <row r="954" spans="1:16" ht="12" customHeight="1" x14ac:dyDescent="0.2">
      <c r="A954"/>
      <c r="B954"/>
      <c r="C954"/>
      <c r="H954"/>
      <c r="I954"/>
      <c r="J954" s="243"/>
      <c r="K954"/>
      <c r="L954"/>
      <c r="M954"/>
      <c r="N954"/>
      <c r="O954"/>
      <c r="P954"/>
    </row>
    <row r="955" spans="1:16" ht="12" customHeight="1" x14ac:dyDescent="0.2">
      <c r="A955"/>
      <c r="B955"/>
      <c r="C955"/>
      <c r="H955"/>
      <c r="I955"/>
      <c r="J955" s="243"/>
      <c r="K955"/>
      <c r="L955"/>
      <c r="M955"/>
      <c r="N955"/>
      <c r="O955"/>
      <c r="P955"/>
    </row>
    <row r="956" spans="1:16" ht="12" customHeight="1" x14ac:dyDescent="0.2">
      <c r="A956"/>
      <c r="B956"/>
      <c r="C956"/>
      <c r="H956"/>
      <c r="I956"/>
      <c r="J956" s="243"/>
      <c r="K956"/>
      <c r="L956"/>
      <c r="M956"/>
      <c r="N956"/>
      <c r="O956"/>
      <c r="P956"/>
    </row>
    <row r="957" spans="1:16" ht="12" customHeight="1" x14ac:dyDescent="0.2">
      <c r="A957"/>
      <c r="B957"/>
      <c r="C957"/>
      <c r="H957"/>
      <c r="I957"/>
      <c r="J957" s="243"/>
      <c r="K957"/>
      <c r="L957"/>
      <c r="M957"/>
      <c r="N957"/>
      <c r="O957"/>
      <c r="P957"/>
    </row>
    <row r="958" spans="1:16" ht="15" customHeight="1" x14ac:dyDescent="0.2">
      <c r="A958"/>
      <c r="B958"/>
      <c r="C958"/>
      <c r="H958"/>
      <c r="I958"/>
      <c r="J958" s="243"/>
      <c r="K958"/>
      <c r="L958"/>
      <c r="M958"/>
      <c r="N958"/>
      <c r="O958"/>
      <c r="P958"/>
    </row>
    <row r="959" spans="1:16" ht="15" customHeight="1" x14ac:dyDescent="0.2">
      <c r="A959"/>
      <c r="B959"/>
      <c r="C959"/>
      <c r="H959"/>
      <c r="I959"/>
      <c r="J959" s="243"/>
      <c r="K959"/>
      <c r="L959"/>
      <c r="M959"/>
      <c r="N959"/>
      <c r="O959"/>
      <c r="P959"/>
    </row>
    <row r="960" spans="1:16" ht="15" customHeight="1" x14ac:dyDescent="0.2">
      <c r="A960"/>
      <c r="B960"/>
      <c r="C960"/>
      <c r="H960"/>
      <c r="I960"/>
      <c r="J960" s="243"/>
      <c r="K960"/>
      <c r="L960"/>
      <c r="M960"/>
      <c r="N960"/>
      <c r="O960"/>
      <c r="P960"/>
    </row>
    <row r="961" spans="1:16" ht="15" customHeight="1" x14ac:dyDescent="0.2">
      <c r="A961"/>
      <c r="B961"/>
      <c r="C961"/>
      <c r="H961"/>
      <c r="I961"/>
      <c r="J961" s="243"/>
      <c r="K961"/>
      <c r="L961"/>
      <c r="M961"/>
      <c r="N961"/>
      <c r="O961"/>
      <c r="P961"/>
    </row>
    <row r="962" spans="1:16" ht="15" customHeight="1" x14ac:dyDescent="0.2">
      <c r="A962"/>
      <c r="B962"/>
      <c r="C962"/>
      <c r="H962"/>
      <c r="I962"/>
      <c r="J962" s="243"/>
      <c r="K962"/>
      <c r="L962"/>
      <c r="M962"/>
      <c r="N962"/>
      <c r="O962"/>
      <c r="P962"/>
    </row>
    <row r="963" spans="1:16" ht="15" customHeight="1" x14ac:dyDescent="0.2">
      <c r="A963"/>
      <c r="B963"/>
      <c r="C963"/>
      <c r="H963"/>
      <c r="I963"/>
      <c r="J963" s="243"/>
      <c r="K963"/>
      <c r="L963"/>
      <c r="M963"/>
      <c r="N963"/>
      <c r="O963"/>
      <c r="P963"/>
    </row>
    <row r="964" spans="1:16" ht="15" customHeight="1" x14ac:dyDescent="0.2">
      <c r="A964"/>
      <c r="B964"/>
      <c r="C964"/>
      <c r="H964"/>
      <c r="I964"/>
      <c r="J964" s="243"/>
      <c r="K964"/>
      <c r="L964"/>
      <c r="M964"/>
      <c r="N964"/>
      <c r="O964"/>
      <c r="P964"/>
    </row>
    <row r="965" spans="1:16" ht="15" customHeight="1" x14ac:dyDescent="0.2">
      <c r="A965"/>
      <c r="B965"/>
      <c r="C965"/>
      <c r="H965"/>
      <c r="I965"/>
      <c r="J965" s="243"/>
      <c r="K965"/>
      <c r="L965"/>
      <c r="M965"/>
      <c r="N965"/>
      <c r="O965"/>
      <c r="P965"/>
    </row>
    <row r="966" spans="1:16" ht="15" customHeight="1" x14ac:dyDescent="0.2">
      <c r="A966"/>
      <c r="B966"/>
      <c r="C966"/>
      <c r="H966"/>
      <c r="I966"/>
      <c r="J966" s="243"/>
      <c r="K966"/>
      <c r="L966"/>
      <c r="M966"/>
      <c r="N966"/>
      <c r="O966"/>
      <c r="P966"/>
    </row>
    <row r="967" spans="1:16" ht="15" customHeight="1" x14ac:dyDescent="0.2">
      <c r="A967"/>
      <c r="B967"/>
      <c r="C967"/>
      <c r="H967"/>
      <c r="I967"/>
      <c r="J967" s="243"/>
      <c r="K967"/>
      <c r="L967"/>
      <c r="M967"/>
      <c r="N967"/>
      <c r="O967"/>
      <c r="P967"/>
    </row>
    <row r="968" spans="1:16" ht="15" customHeight="1" x14ac:dyDescent="0.2">
      <c r="A968"/>
      <c r="B968"/>
      <c r="C968"/>
      <c r="H968"/>
      <c r="I968"/>
      <c r="J968" s="243"/>
      <c r="K968"/>
      <c r="L968"/>
      <c r="M968"/>
      <c r="N968"/>
      <c r="O968"/>
      <c r="P968"/>
    </row>
    <row r="969" spans="1:16" ht="15" customHeight="1" x14ac:dyDescent="0.2">
      <c r="A969"/>
      <c r="B969"/>
      <c r="C969"/>
      <c r="H969"/>
      <c r="I969"/>
      <c r="J969" s="243"/>
      <c r="K969"/>
      <c r="L969"/>
      <c r="M969"/>
      <c r="N969"/>
      <c r="O969"/>
      <c r="P969"/>
    </row>
    <row r="970" spans="1:16" ht="15" customHeight="1" x14ac:dyDescent="0.2">
      <c r="A970"/>
      <c r="B970"/>
      <c r="C970"/>
      <c r="H970"/>
      <c r="I970"/>
      <c r="J970" s="243"/>
      <c r="K970"/>
      <c r="L970"/>
      <c r="M970"/>
      <c r="N970"/>
      <c r="O970"/>
      <c r="P970"/>
    </row>
    <row r="971" spans="1:16" ht="15" customHeight="1" x14ac:dyDescent="0.2">
      <c r="A971"/>
      <c r="B971"/>
      <c r="C971"/>
      <c r="H971"/>
      <c r="I971"/>
      <c r="J971" s="243"/>
      <c r="K971"/>
      <c r="L971"/>
      <c r="M971"/>
      <c r="N971"/>
      <c r="O971"/>
      <c r="P971"/>
    </row>
    <row r="972" spans="1:16" ht="15" customHeight="1" x14ac:dyDescent="0.2">
      <c r="A972"/>
      <c r="B972"/>
      <c r="C972"/>
      <c r="H972"/>
      <c r="I972"/>
      <c r="J972" s="243"/>
      <c r="K972"/>
      <c r="L972"/>
      <c r="M972"/>
      <c r="N972"/>
      <c r="O972"/>
      <c r="P972"/>
    </row>
    <row r="973" spans="1:16" ht="15" customHeight="1" x14ac:dyDescent="0.2">
      <c r="A973"/>
      <c r="B973"/>
      <c r="C973"/>
      <c r="H973"/>
      <c r="I973"/>
      <c r="J973" s="243"/>
      <c r="K973"/>
      <c r="L973"/>
      <c r="M973"/>
      <c r="N973"/>
      <c r="O973"/>
      <c r="P973"/>
    </row>
    <row r="974" spans="1:16" ht="15" customHeight="1" x14ac:dyDescent="0.2">
      <c r="A974"/>
      <c r="B974"/>
      <c r="C974"/>
      <c r="H974"/>
      <c r="I974"/>
      <c r="J974" s="243"/>
      <c r="K974"/>
      <c r="L974"/>
      <c r="M974"/>
      <c r="N974"/>
      <c r="O974"/>
      <c r="P974"/>
    </row>
    <row r="975" spans="1:16" ht="15" customHeight="1" x14ac:dyDescent="0.2">
      <c r="A975"/>
      <c r="B975"/>
      <c r="C975"/>
      <c r="H975"/>
      <c r="I975"/>
      <c r="J975" s="243"/>
      <c r="K975"/>
      <c r="L975"/>
      <c r="M975"/>
      <c r="N975"/>
      <c r="O975"/>
      <c r="P975"/>
    </row>
    <row r="976" spans="1:16" ht="15" customHeight="1" x14ac:dyDescent="0.2">
      <c r="A976"/>
      <c r="B976"/>
      <c r="C976"/>
      <c r="H976"/>
      <c r="I976"/>
      <c r="J976" s="243"/>
      <c r="K976"/>
      <c r="L976"/>
      <c r="M976"/>
      <c r="N976"/>
      <c r="O976"/>
      <c r="P976"/>
    </row>
    <row r="977" spans="1:16" ht="15" customHeight="1" x14ac:dyDescent="0.2">
      <c r="A977"/>
      <c r="B977"/>
      <c r="C977"/>
      <c r="H977"/>
      <c r="I977"/>
      <c r="J977" s="243"/>
      <c r="K977"/>
      <c r="L977"/>
      <c r="M977"/>
      <c r="N977"/>
      <c r="O977"/>
      <c r="P977"/>
    </row>
    <row r="978" spans="1:16" ht="15" customHeight="1" x14ac:dyDescent="0.2">
      <c r="A978"/>
      <c r="B978"/>
      <c r="C978"/>
      <c r="H978"/>
      <c r="I978"/>
      <c r="J978" s="243"/>
      <c r="K978"/>
      <c r="L978"/>
      <c r="M978"/>
      <c r="N978"/>
      <c r="O978"/>
      <c r="P978"/>
    </row>
    <row r="979" spans="1:16" ht="15" customHeight="1" x14ac:dyDescent="0.2">
      <c r="A979"/>
      <c r="B979"/>
      <c r="C979"/>
      <c r="H979"/>
      <c r="I979"/>
      <c r="J979" s="243"/>
      <c r="K979"/>
      <c r="L979"/>
      <c r="M979"/>
      <c r="N979"/>
      <c r="O979"/>
      <c r="P979"/>
    </row>
    <row r="980" spans="1:16" ht="15" customHeight="1" x14ac:dyDescent="0.2">
      <c r="A980"/>
      <c r="B980"/>
      <c r="C980"/>
      <c r="H980"/>
      <c r="I980"/>
      <c r="J980" s="243"/>
      <c r="K980"/>
      <c r="L980"/>
      <c r="M980"/>
      <c r="N980"/>
      <c r="O980"/>
      <c r="P980"/>
    </row>
    <row r="981" spans="1:16" ht="15" customHeight="1" x14ac:dyDescent="0.2">
      <c r="A981"/>
      <c r="B981"/>
      <c r="C981"/>
      <c r="H981"/>
      <c r="I981"/>
      <c r="J981" s="243"/>
      <c r="K981"/>
      <c r="L981"/>
      <c r="M981"/>
      <c r="N981"/>
      <c r="O981"/>
      <c r="P981"/>
    </row>
    <row r="982" spans="1:16" ht="15" customHeight="1" x14ac:dyDescent="0.2">
      <c r="A982"/>
      <c r="B982"/>
      <c r="C982"/>
      <c r="H982"/>
      <c r="I982"/>
      <c r="J982" s="243"/>
      <c r="K982"/>
      <c r="L982"/>
      <c r="M982"/>
      <c r="N982"/>
      <c r="O982"/>
      <c r="P982"/>
    </row>
    <row r="983" spans="1:16" ht="15" customHeight="1" x14ac:dyDescent="0.2">
      <c r="A983"/>
      <c r="B983"/>
      <c r="C983"/>
      <c r="H983"/>
      <c r="I983"/>
      <c r="J983" s="243"/>
      <c r="K983"/>
      <c r="L983"/>
      <c r="M983"/>
      <c r="N983"/>
      <c r="O983"/>
      <c r="P983"/>
    </row>
    <row r="984" spans="1:16" ht="15" customHeight="1" x14ac:dyDescent="0.2">
      <c r="A984"/>
      <c r="B984"/>
      <c r="C984"/>
      <c r="H984"/>
      <c r="I984"/>
      <c r="J984" s="243"/>
      <c r="K984"/>
      <c r="L984"/>
      <c r="M984"/>
      <c r="N984"/>
      <c r="O984"/>
      <c r="P984"/>
    </row>
    <row r="985" spans="1:16" ht="15" customHeight="1" x14ac:dyDescent="0.2">
      <c r="A985"/>
      <c r="B985"/>
      <c r="C985"/>
      <c r="H985"/>
      <c r="I985"/>
      <c r="J985" s="243"/>
      <c r="K985"/>
      <c r="L985"/>
      <c r="M985"/>
      <c r="N985"/>
      <c r="O985"/>
      <c r="P985"/>
    </row>
    <row r="986" spans="1:16" ht="15" customHeight="1" x14ac:dyDescent="0.2">
      <c r="A986"/>
      <c r="B986"/>
      <c r="C986"/>
      <c r="H986"/>
      <c r="I986"/>
      <c r="J986" s="243"/>
      <c r="K986"/>
      <c r="L986"/>
      <c r="M986"/>
      <c r="N986"/>
      <c r="O986"/>
      <c r="P986"/>
    </row>
    <row r="987" spans="1:16" ht="15" customHeight="1" x14ac:dyDescent="0.2">
      <c r="A987"/>
      <c r="B987"/>
      <c r="C987"/>
      <c r="H987"/>
      <c r="I987"/>
      <c r="J987" s="243"/>
      <c r="K987"/>
      <c r="L987"/>
      <c r="M987"/>
      <c r="N987"/>
      <c r="O987"/>
      <c r="P987"/>
    </row>
    <row r="988" spans="1:16" ht="15" customHeight="1" x14ac:dyDescent="0.2">
      <c r="A988"/>
      <c r="B988"/>
      <c r="C988"/>
      <c r="H988"/>
      <c r="I988"/>
      <c r="J988" s="243"/>
      <c r="K988"/>
      <c r="L988"/>
      <c r="M988"/>
      <c r="N988"/>
      <c r="O988"/>
      <c r="P988"/>
    </row>
    <row r="989" spans="1:16" ht="15" customHeight="1" x14ac:dyDescent="0.2">
      <c r="A989"/>
      <c r="B989"/>
      <c r="C989"/>
      <c r="H989"/>
      <c r="I989"/>
      <c r="J989" s="243"/>
      <c r="K989"/>
      <c r="L989"/>
      <c r="M989"/>
      <c r="N989"/>
      <c r="O989"/>
      <c r="P989"/>
    </row>
    <row r="990" spans="1:16" ht="15" customHeight="1" x14ac:dyDescent="0.2">
      <c r="A990"/>
      <c r="B990"/>
      <c r="C990"/>
      <c r="H990"/>
      <c r="I990"/>
      <c r="J990" s="243"/>
      <c r="K990"/>
      <c r="L990"/>
      <c r="M990"/>
      <c r="N990"/>
      <c r="O990"/>
      <c r="P990"/>
    </row>
    <row r="991" spans="1:16" ht="15" customHeight="1" x14ac:dyDescent="0.2">
      <c r="A991"/>
      <c r="B991"/>
      <c r="C991"/>
      <c r="H991"/>
      <c r="I991"/>
      <c r="J991" s="243"/>
      <c r="K991"/>
      <c r="L991"/>
      <c r="M991"/>
      <c r="N991"/>
      <c r="O991"/>
      <c r="P991"/>
    </row>
    <row r="992" spans="1:16" ht="15" customHeight="1" x14ac:dyDescent="0.2">
      <c r="A992"/>
      <c r="B992"/>
      <c r="C992"/>
      <c r="H992"/>
      <c r="I992"/>
      <c r="J992" s="243"/>
      <c r="K992"/>
      <c r="L992"/>
      <c r="M992"/>
      <c r="N992"/>
      <c r="O992"/>
      <c r="P992"/>
    </row>
    <row r="993" spans="1:16" ht="15" customHeight="1" x14ac:dyDescent="0.2">
      <c r="A993"/>
      <c r="B993"/>
      <c r="C993"/>
      <c r="H993"/>
      <c r="I993"/>
      <c r="J993" s="243"/>
      <c r="K993"/>
      <c r="L993"/>
      <c r="M993"/>
      <c r="N993"/>
      <c r="O993"/>
      <c r="P993"/>
    </row>
    <row r="994" spans="1:16" ht="15" customHeight="1" x14ac:dyDescent="0.2">
      <c r="A994"/>
      <c r="B994"/>
      <c r="C994"/>
      <c r="H994"/>
      <c r="I994"/>
      <c r="J994" s="243"/>
      <c r="K994"/>
      <c r="L994"/>
      <c r="M994"/>
      <c r="N994"/>
      <c r="O994"/>
      <c r="P994"/>
    </row>
    <row r="995" spans="1:16" ht="15" customHeight="1" x14ac:dyDescent="0.2">
      <c r="A995"/>
      <c r="B995"/>
      <c r="C995"/>
      <c r="H995"/>
      <c r="I995"/>
      <c r="J995" s="243"/>
      <c r="K995"/>
      <c r="L995"/>
      <c r="M995"/>
      <c r="N995"/>
      <c r="O995"/>
      <c r="P995"/>
    </row>
    <row r="996" spans="1:16" ht="15" customHeight="1" x14ac:dyDescent="0.2">
      <c r="A996"/>
      <c r="B996"/>
      <c r="C996"/>
      <c r="H996"/>
      <c r="I996"/>
      <c r="J996" s="243"/>
      <c r="K996"/>
      <c r="L996"/>
      <c r="M996"/>
      <c r="N996"/>
      <c r="O996"/>
      <c r="P996"/>
    </row>
    <row r="997" spans="1:16" ht="15" customHeight="1" x14ac:dyDescent="0.2">
      <c r="A997"/>
      <c r="B997"/>
      <c r="C997"/>
      <c r="H997"/>
      <c r="I997"/>
      <c r="J997" s="243"/>
      <c r="K997"/>
      <c r="L997"/>
      <c r="M997"/>
      <c r="N997"/>
      <c r="O997"/>
      <c r="P997"/>
    </row>
    <row r="998" spans="1:16" ht="15" customHeight="1" x14ac:dyDescent="0.2">
      <c r="A998"/>
      <c r="B998"/>
      <c r="C998"/>
      <c r="H998"/>
      <c r="I998"/>
      <c r="J998" s="243"/>
      <c r="K998"/>
      <c r="L998"/>
      <c r="M998"/>
      <c r="N998"/>
      <c r="O998"/>
      <c r="P998"/>
    </row>
    <row r="999" spans="1:16" ht="15" customHeight="1" x14ac:dyDescent="0.2">
      <c r="A999"/>
      <c r="B999"/>
      <c r="C999"/>
      <c r="H999"/>
      <c r="I999"/>
      <c r="J999" s="243"/>
      <c r="K999"/>
      <c r="L999"/>
      <c r="M999"/>
      <c r="N999"/>
      <c r="O999"/>
      <c r="P999"/>
    </row>
    <row r="1000" spans="1:16" ht="15" customHeight="1" x14ac:dyDescent="0.2">
      <c r="A1000"/>
      <c r="B1000"/>
      <c r="C1000"/>
      <c r="H1000"/>
      <c r="I1000"/>
      <c r="J1000" s="243"/>
      <c r="K1000"/>
      <c r="L1000"/>
      <c r="M1000"/>
      <c r="N1000"/>
      <c r="O1000"/>
      <c r="P1000"/>
    </row>
    <row r="1001" spans="1:16" ht="15" customHeight="1" x14ac:dyDescent="0.2">
      <c r="A1001"/>
      <c r="B1001"/>
      <c r="C1001"/>
      <c r="H1001"/>
      <c r="I1001"/>
      <c r="J1001" s="243"/>
      <c r="K1001"/>
      <c r="L1001"/>
      <c r="M1001"/>
      <c r="N1001"/>
      <c r="O1001"/>
      <c r="P1001"/>
    </row>
    <row r="1002" spans="1:16" ht="15" customHeight="1" x14ac:dyDescent="0.2">
      <c r="A1002"/>
      <c r="B1002"/>
      <c r="C1002"/>
      <c r="H1002"/>
      <c r="I1002"/>
      <c r="J1002" s="243"/>
      <c r="K1002"/>
      <c r="L1002"/>
      <c r="M1002"/>
      <c r="N1002"/>
      <c r="O1002"/>
      <c r="P1002"/>
    </row>
    <row r="1003" spans="1:16" ht="15" customHeight="1" x14ac:dyDescent="0.2">
      <c r="A1003"/>
      <c r="B1003"/>
      <c r="C1003"/>
      <c r="H1003"/>
      <c r="I1003"/>
      <c r="J1003" s="243"/>
      <c r="K1003"/>
      <c r="L1003"/>
      <c r="M1003"/>
      <c r="N1003"/>
      <c r="O1003"/>
      <c r="P1003"/>
    </row>
    <row r="1004" spans="1:16" ht="15" customHeight="1" x14ac:dyDescent="0.2">
      <c r="A1004"/>
      <c r="B1004"/>
      <c r="C1004"/>
      <c r="H1004"/>
      <c r="I1004"/>
      <c r="J1004" s="243"/>
      <c r="K1004"/>
      <c r="L1004"/>
      <c r="M1004"/>
      <c r="N1004"/>
      <c r="O1004"/>
      <c r="P1004"/>
    </row>
    <row r="1005" spans="1:16" ht="15" customHeight="1" x14ac:dyDescent="0.2">
      <c r="A1005"/>
      <c r="B1005"/>
      <c r="C1005"/>
      <c r="H1005"/>
      <c r="I1005"/>
      <c r="J1005" s="243"/>
      <c r="K1005"/>
      <c r="L1005"/>
      <c r="M1005"/>
      <c r="N1005"/>
      <c r="O1005"/>
      <c r="P1005"/>
    </row>
    <row r="1006" spans="1:16" ht="15" customHeight="1" x14ac:dyDescent="0.2">
      <c r="A1006"/>
      <c r="B1006"/>
      <c r="C1006"/>
      <c r="H1006"/>
      <c r="I1006"/>
      <c r="J1006" s="243"/>
      <c r="K1006"/>
      <c r="L1006"/>
      <c r="M1006"/>
      <c r="N1006"/>
      <c r="O1006"/>
      <c r="P1006"/>
    </row>
    <row r="1007" spans="1:16" ht="15" customHeight="1" x14ac:dyDescent="0.2">
      <c r="A1007"/>
      <c r="B1007"/>
      <c r="C1007"/>
      <c r="H1007"/>
      <c r="I1007"/>
      <c r="J1007" s="243"/>
      <c r="K1007"/>
      <c r="L1007"/>
      <c r="M1007"/>
      <c r="N1007"/>
      <c r="O1007"/>
      <c r="P1007"/>
    </row>
    <row r="1008" spans="1:16" ht="15" customHeight="1" x14ac:dyDescent="0.2">
      <c r="A1008"/>
      <c r="B1008"/>
      <c r="C1008"/>
      <c r="H1008"/>
      <c r="I1008"/>
      <c r="J1008" s="243"/>
      <c r="K1008"/>
      <c r="L1008"/>
      <c r="M1008"/>
      <c r="N1008"/>
      <c r="O1008"/>
      <c r="P1008"/>
    </row>
    <row r="1009" spans="1:16" ht="15" customHeight="1" x14ac:dyDescent="0.2">
      <c r="A1009"/>
      <c r="B1009"/>
      <c r="C1009"/>
      <c r="H1009"/>
      <c r="I1009"/>
      <c r="J1009" s="243"/>
      <c r="K1009"/>
      <c r="L1009"/>
      <c r="M1009"/>
      <c r="N1009"/>
      <c r="O1009"/>
      <c r="P1009"/>
    </row>
    <row r="1010" spans="1:16" ht="15" customHeight="1" x14ac:dyDescent="0.2">
      <c r="A1010"/>
      <c r="B1010"/>
      <c r="C1010"/>
      <c r="H1010"/>
      <c r="I1010"/>
      <c r="J1010" s="243"/>
      <c r="K1010"/>
      <c r="L1010"/>
      <c r="M1010"/>
      <c r="N1010"/>
      <c r="O1010"/>
      <c r="P1010"/>
    </row>
    <row r="1011" spans="1:16" ht="15" customHeight="1" x14ac:dyDescent="0.2">
      <c r="A1011"/>
      <c r="B1011"/>
      <c r="C1011"/>
      <c r="H1011"/>
      <c r="I1011"/>
      <c r="J1011" s="243"/>
      <c r="K1011"/>
      <c r="L1011"/>
      <c r="M1011"/>
      <c r="N1011"/>
      <c r="O1011"/>
      <c r="P1011"/>
    </row>
    <row r="1012" spans="1:16" ht="15" customHeight="1" x14ac:dyDescent="0.2">
      <c r="A1012"/>
      <c r="B1012"/>
      <c r="C1012"/>
      <c r="H1012"/>
      <c r="I1012"/>
      <c r="J1012" s="243"/>
      <c r="K1012"/>
      <c r="L1012"/>
      <c r="M1012"/>
      <c r="N1012"/>
      <c r="O1012"/>
      <c r="P1012"/>
    </row>
    <row r="1013" spans="1:16" ht="15" customHeight="1" x14ac:dyDescent="0.2">
      <c r="A1013"/>
      <c r="B1013"/>
      <c r="C1013"/>
      <c r="H1013"/>
      <c r="I1013"/>
      <c r="J1013" s="243"/>
      <c r="K1013"/>
      <c r="L1013"/>
      <c r="M1013"/>
      <c r="N1013"/>
      <c r="O1013"/>
      <c r="P1013"/>
    </row>
    <row r="1014" spans="1:16" ht="15" customHeight="1" x14ac:dyDescent="0.2">
      <c r="A1014"/>
      <c r="B1014"/>
      <c r="C1014"/>
      <c r="H1014"/>
      <c r="I1014"/>
      <c r="J1014" s="243"/>
      <c r="K1014"/>
      <c r="L1014"/>
      <c r="M1014"/>
      <c r="N1014"/>
      <c r="O1014"/>
      <c r="P1014"/>
    </row>
    <row r="1015" spans="1:16" ht="15" customHeight="1" x14ac:dyDescent="0.2">
      <c r="A1015"/>
      <c r="B1015"/>
      <c r="C1015"/>
      <c r="H1015"/>
      <c r="I1015"/>
      <c r="J1015" s="243"/>
      <c r="K1015"/>
      <c r="L1015"/>
      <c r="M1015"/>
      <c r="N1015"/>
      <c r="O1015"/>
      <c r="P1015"/>
    </row>
    <row r="1016" spans="1:16" ht="15" customHeight="1" x14ac:dyDescent="0.2">
      <c r="A1016"/>
      <c r="B1016"/>
      <c r="C1016"/>
      <c r="H1016"/>
      <c r="I1016"/>
      <c r="J1016" s="243"/>
      <c r="K1016"/>
      <c r="L1016"/>
      <c r="M1016"/>
      <c r="N1016"/>
      <c r="O1016"/>
      <c r="P1016"/>
    </row>
    <row r="1017" spans="1:16" ht="15" customHeight="1" x14ac:dyDescent="0.2">
      <c r="A1017"/>
      <c r="B1017"/>
      <c r="C1017"/>
      <c r="H1017"/>
      <c r="I1017"/>
      <c r="J1017" s="243"/>
      <c r="K1017"/>
      <c r="L1017"/>
      <c r="M1017"/>
      <c r="N1017"/>
      <c r="O1017"/>
      <c r="P1017"/>
    </row>
    <row r="1018" spans="1:16" ht="15" customHeight="1" x14ac:dyDescent="0.2">
      <c r="A1018"/>
      <c r="B1018"/>
      <c r="C1018"/>
      <c r="H1018"/>
      <c r="I1018"/>
      <c r="J1018" s="243"/>
      <c r="K1018"/>
      <c r="L1018"/>
      <c r="M1018"/>
      <c r="N1018"/>
      <c r="O1018"/>
      <c r="P1018"/>
    </row>
    <row r="1019" spans="1:16" ht="15" customHeight="1" x14ac:dyDescent="0.2">
      <c r="A1019"/>
      <c r="B1019"/>
      <c r="C1019"/>
      <c r="H1019"/>
      <c r="I1019"/>
      <c r="J1019" s="243"/>
      <c r="K1019"/>
      <c r="L1019"/>
      <c r="M1019"/>
      <c r="N1019"/>
      <c r="O1019"/>
      <c r="P1019"/>
    </row>
    <row r="1020" spans="1:16" x14ac:dyDescent="0.2">
      <c r="A1020"/>
      <c r="B1020"/>
      <c r="C1020"/>
      <c r="H1020"/>
      <c r="I1020"/>
      <c r="J1020" s="243"/>
      <c r="K1020"/>
      <c r="L1020"/>
      <c r="M1020"/>
      <c r="N1020"/>
      <c r="O1020"/>
      <c r="P1020"/>
    </row>
    <row r="1021" spans="1:16" ht="13.5" customHeight="1" x14ac:dyDescent="0.2">
      <c r="A1021"/>
      <c r="B1021"/>
      <c r="C1021"/>
      <c r="H1021"/>
      <c r="I1021"/>
      <c r="J1021" s="243"/>
      <c r="K1021"/>
      <c r="L1021"/>
      <c r="M1021"/>
      <c r="N1021"/>
      <c r="O1021"/>
      <c r="P1021"/>
    </row>
    <row r="1022" spans="1:16" ht="40.5" customHeight="1" x14ac:dyDescent="0.2">
      <c r="A1022"/>
      <c r="B1022"/>
      <c r="C1022"/>
      <c r="H1022"/>
      <c r="I1022"/>
      <c r="J1022" s="243"/>
      <c r="K1022"/>
      <c r="L1022"/>
      <c r="M1022"/>
      <c r="N1022"/>
      <c r="O1022"/>
      <c r="P1022"/>
    </row>
    <row r="1023" spans="1:16" ht="21" customHeight="1" x14ac:dyDescent="0.2">
      <c r="A1023"/>
      <c r="B1023"/>
      <c r="C1023"/>
      <c r="H1023"/>
      <c r="I1023"/>
      <c r="J1023" s="243"/>
      <c r="K1023"/>
      <c r="L1023"/>
      <c r="M1023"/>
      <c r="N1023"/>
      <c r="O1023"/>
      <c r="P1023"/>
    </row>
    <row r="1024" spans="1:16" x14ac:dyDescent="0.2">
      <c r="A1024"/>
      <c r="B1024"/>
      <c r="C1024"/>
      <c r="H1024"/>
      <c r="I1024"/>
      <c r="J1024" s="243"/>
      <c r="K1024"/>
      <c r="L1024"/>
      <c r="M1024"/>
      <c r="N1024"/>
      <c r="O1024"/>
      <c r="P1024"/>
    </row>
    <row r="1025" spans="1:16" x14ac:dyDescent="0.2">
      <c r="A1025"/>
      <c r="B1025"/>
      <c r="C1025"/>
      <c r="H1025"/>
      <c r="I1025"/>
      <c r="J1025" s="243"/>
      <c r="K1025"/>
      <c r="L1025"/>
      <c r="M1025"/>
      <c r="N1025"/>
      <c r="O1025"/>
      <c r="P1025"/>
    </row>
    <row r="1026" spans="1:16" ht="12" customHeight="1" x14ac:dyDescent="0.2">
      <c r="A1026"/>
      <c r="B1026"/>
      <c r="C1026"/>
      <c r="H1026"/>
      <c r="I1026"/>
      <c r="J1026" s="243"/>
      <c r="K1026"/>
      <c r="L1026"/>
      <c r="M1026"/>
      <c r="N1026"/>
      <c r="O1026"/>
      <c r="P1026"/>
    </row>
    <row r="1027" spans="1:16" ht="12" customHeight="1" x14ac:dyDescent="0.2">
      <c r="A1027"/>
      <c r="B1027"/>
      <c r="C1027"/>
      <c r="H1027"/>
      <c r="I1027"/>
      <c r="J1027" s="243"/>
      <c r="K1027"/>
      <c r="L1027"/>
      <c r="M1027"/>
      <c r="N1027"/>
      <c r="O1027"/>
      <c r="P1027"/>
    </row>
    <row r="1028" spans="1:16" ht="12" customHeight="1" x14ac:dyDescent="0.2">
      <c r="A1028"/>
      <c r="B1028"/>
      <c r="C1028"/>
      <c r="H1028"/>
      <c r="I1028"/>
      <c r="J1028" s="243"/>
      <c r="K1028"/>
      <c r="L1028"/>
      <c r="M1028"/>
      <c r="N1028"/>
      <c r="O1028"/>
      <c r="P1028"/>
    </row>
    <row r="1029" spans="1:16" ht="12" customHeight="1" x14ac:dyDescent="0.2">
      <c r="A1029"/>
      <c r="B1029"/>
      <c r="C1029"/>
      <c r="H1029"/>
      <c r="I1029"/>
      <c r="J1029" s="243"/>
      <c r="K1029"/>
      <c r="L1029"/>
      <c r="M1029"/>
      <c r="N1029"/>
      <c r="O1029"/>
      <c r="P1029"/>
    </row>
    <row r="1030" spans="1:16" ht="23.25" customHeight="1" x14ac:dyDescent="0.2">
      <c r="A1030"/>
      <c r="B1030"/>
      <c r="C1030"/>
      <c r="H1030"/>
      <c r="I1030"/>
      <c r="J1030" s="243"/>
      <c r="K1030"/>
      <c r="L1030"/>
      <c r="M1030"/>
      <c r="N1030"/>
      <c r="O1030"/>
      <c r="P1030"/>
    </row>
    <row r="1031" spans="1:16" x14ac:dyDescent="0.2">
      <c r="A1031"/>
      <c r="B1031"/>
      <c r="C1031"/>
      <c r="H1031"/>
      <c r="I1031"/>
      <c r="J1031" s="243"/>
      <c r="K1031"/>
      <c r="L1031"/>
      <c r="M1031"/>
      <c r="N1031"/>
      <c r="O1031"/>
      <c r="P1031"/>
    </row>
    <row r="1032" spans="1:16" x14ac:dyDescent="0.2">
      <c r="A1032"/>
      <c r="B1032"/>
      <c r="C1032"/>
      <c r="H1032"/>
      <c r="I1032"/>
      <c r="J1032" s="243"/>
      <c r="K1032"/>
      <c r="L1032"/>
      <c r="M1032"/>
      <c r="N1032"/>
      <c r="O1032"/>
      <c r="P1032"/>
    </row>
    <row r="1033" spans="1:16" ht="12" customHeight="1" x14ac:dyDescent="0.2">
      <c r="A1033"/>
      <c r="B1033"/>
      <c r="C1033"/>
      <c r="H1033"/>
      <c r="I1033"/>
      <c r="J1033" s="243"/>
      <c r="K1033"/>
      <c r="L1033"/>
      <c r="M1033"/>
      <c r="N1033"/>
      <c r="O1033"/>
      <c r="P1033"/>
    </row>
    <row r="1034" spans="1:16" ht="12" customHeight="1" x14ac:dyDescent="0.2">
      <c r="A1034"/>
      <c r="B1034"/>
      <c r="C1034"/>
      <c r="H1034"/>
      <c r="I1034"/>
      <c r="J1034" s="243"/>
      <c r="K1034"/>
      <c r="L1034"/>
      <c r="M1034"/>
      <c r="N1034"/>
      <c r="O1034"/>
      <c r="P1034"/>
    </row>
    <row r="1035" spans="1:16" ht="12" customHeight="1" x14ac:dyDescent="0.2">
      <c r="A1035"/>
      <c r="B1035"/>
      <c r="C1035"/>
      <c r="H1035"/>
      <c r="I1035"/>
      <c r="J1035" s="243"/>
      <c r="K1035"/>
      <c r="L1035"/>
      <c r="M1035"/>
      <c r="N1035"/>
      <c r="O1035"/>
      <c r="P1035"/>
    </row>
    <row r="1036" spans="1:16" ht="12" customHeight="1" x14ac:dyDescent="0.2">
      <c r="A1036"/>
      <c r="B1036"/>
      <c r="C1036"/>
      <c r="H1036"/>
      <c r="I1036"/>
      <c r="J1036" s="243"/>
      <c r="K1036"/>
      <c r="L1036"/>
      <c r="M1036"/>
      <c r="N1036"/>
      <c r="O1036"/>
      <c r="P1036"/>
    </row>
    <row r="1037" spans="1:16" ht="12" customHeight="1" x14ac:dyDescent="0.2">
      <c r="A1037"/>
      <c r="B1037"/>
      <c r="C1037"/>
      <c r="H1037"/>
      <c r="I1037"/>
      <c r="J1037" s="243"/>
      <c r="K1037"/>
      <c r="L1037"/>
      <c r="M1037"/>
      <c r="N1037"/>
      <c r="O1037"/>
      <c r="P1037"/>
    </row>
    <row r="1038" spans="1:16" ht="12" customHeight="1" x14ac:dyDescent="0.2">
      <c r="A1038"/>
      <c r="B1038"/>
      <c r="C1038"/>
      <c r="H1038"/>
      <c r="I1038"/>
      <c r="J1038" s="243"/>
      <c r="K1038"/>
      <c r="L1038"/>
      <c r="M1038"/>
      <c r="N1038"/>
      <c r="O1038"/>
      <c r="P1038"/>
    </row>
    <row r="1039" spans="1:16" ht="12" customHeight="1" x14ac:dyDescent="0.2">
      <c r="A1039"/>
      <c r="B1039"/>
      <c r="C1039"/>
      <c r="H1039"/>
      <c r="I1039"/>
      <c r="J1039" s="243"/>
      <c r="K1039"/>
      <c r="L1039"/>
      <c r="M1039"/>
      <c r="N1039"/>
      <c r="O1039"/>
      <c r="P1039"/>
    </row>
    <row r="1040" spans="1:16" ht="12" customHeight="1" x14ac:dyDescent="0.2">
      <c r="A1040"/>
      <c r="B1040"/>
      <c r="C1040"/>
      <c r="H1040"/>
      <c r="I1040"/>
      <c r="J1040" s="243"/>
      <c r="K1040"/>
      <c r="L1040"/>
      <c r="M1040"/>
      <c r="N1040"/>
      <c r="O1040"/>
      <c r="P1040"/>
    </row>
    <row r="1041" spans="1:16" ht="12" customHeight="1" x14ac:dyDescent="0.2">
      <c r="A1041"/>
      <c r="B1041"/>
      <c r="C1041"/>
      <c r="H1041"/>
      <c r="I1041"/>
      <c r="J1041" s="243"/>
      <c r="K1041"/>
      <c r="L1041"/>
      <c r="M1041"/>
      <c r="N1041"/>
      <c r="O1041"/>
      <c r="P1041"/>
    </row>
    <row r="1042" spans="1:16" ht="12" customHeight="1" x14ac:dyDescent="0.2">
      <c r="A1042"/>
      <c r="B1042"/>
      <c r="C1042"/>
      <c r="H1042"/>
      <c r="I1042"/>
      <c r="J1042" s="243"/>
      <c r="K1042"/>
      <c r="L1042"/>
      <c r="M1042"/>
      <c r="N1042"/>
      <c r="O1042"/>
      <c r="P1042"/>
    </row>
    <row r="1043" spans="1:16" ht="12" customHeight="1" x14ac:dyDescent="0.2">
      <c r="A1043"/>
      <c r="B1043"/>
      <c r="C1043"/>
      <c r="H1043"/>
      <c r="I1043"/>
      <c r="J1043" s="243"/>
      <c r="K1043"/>
      <c r="L1043"/>
      <c r="M1043"/>
      <c r="N1043"/>
      <c r="O1043"/>
      <c r="P1043"/>
    </row>
    <row r="1044" spans="1:16" ht="12" customHeight="1" x14ac:dyDescent="0.2">
      <c r="A1044"/>
      <c r="B1044"/>
      <c r="C1044"/>
      <c r="H1044"/>
      <c r="I1044"/>
      <c r="J1044" s="243"/>
      <c r="K1044"/>
      <c r="L1044"/>
      <c r="M1044"/>
      <c r="N1044"/>
      <c r="O1044"/>
      <c r="P1044"/>
    </row>
    <row r="1045" spans="1:16" ht="12" customHeight="1" x14ac:dyDescent="0.2">
      <c r="A1045"/>
      <c r="B1045"/>
      <c r="C1045"/>
      <c r="H1045"/>
      <c r="I1045"/>
      <c r="J1045" s="243"/>
      <c r="K1045"/>
      <c r="L1045"/>
      <c r="M1045"/>
      <c r="N1045"/>
      <c r="O1045"/>
      <c r="P1045"/>
    </row>
    <row r="1046" spans="1:16" ht="12" customHeight="1" x14ac:dyDescent="0.2">
      <c r="A1046"/>
      <c r="B1046"/>
      <c r="C1046"/>
      <c r="H1046"/>
      <c r="I1046"/>
      <c r="J1046" s="243"/>
      <c r="K1046"/>
      <c r="L1046"/>
      <c r="M1046"/>
      <c r="N1046"/>
      <c r="O1046"/>
      <c r="P1046"/>
    </row>
    <row r="1047" spans="1:16" x14ac:dyDescent="0.2">
      <c r="A1047"/>
      <c r="B1047"/>
      <c r="C1047"/>
      <c r="H1047"/>
      <c r="I1047"/>
      <c r="J1047" s="243"/>
      <c r="K1047"/>
      <c r="L1047"/>
      <c r="M1047"/>
      <c r="N1047"/>
      <c r="O1047"/>
      <c r="P1047"/>
    </row>
    <row r="1048" spans="1:16" x14ac:dyDescent="0.2">
      <c r="A1048"/>
      <c r="B1048"/>
      <c r="C1048"/>
      <c r="H1048"/>
      <c r="I1048"/>
      <c r="J1048" s="243"/>
      <c r="K1048"/>
      <c r="L1048"/>
      <c r="M1048"/>
      <c r="N1048"/>
      <c r="O1048"/>
      <c r="P1048"/>
    </row>
    <row r="1049" spans="1:16" x14ac:dyDescent="0.2">
      <c r="A1049"/>
      <c r="B1049"/>
      <c r="C1049"/>
      <c r="H1049"/>
      <c r="I1049"/>
      <c r="J1049" s="243"/>
      <c r="K1049"/>
      <c r="L1049"/>
      <c r="M1049"/>
      <c r="N1049"/>
      <c r="O1049"/>
      <c r="P1049"/>
    </row>
    <row r="1050" spans="1:16" ht="12" customHeight="1" x14ac:dyDescent="0.2">
      <c r="A1050"/>
      <c r="B1050"/>
      <c r="C1050"/>
      <c r="H1050"/>
      <c r="I1050"/>
      <c r="J1050" s="243"/>
      <c r="K1050"/>
      <c r="L1050"/>
      <c r="M1050"/>
      <c r="N1050"/>
      <c r="O1050"/>
      <c r="P1050"/>
    </row>
    <row r="1051" spans="1:16" ht="12" customHeight="1" x14ac:dyDescent="0.2">
      <c r="A1051"/>
      <c r="B1051"/>
      <c r="C1051"/>
      <c r="H1051"/>
      <c r="I1051"/>
      <c r="J1051" s="243"/>
      <c r="K1051"/>
      <c r="L1051"/>
      <c r="M1051"/>
      <c r="N1051"/>
      <c r="O1051"/>
      <c r="P1051"/>
    </row>
    <row r="1052" spans="1:16" ht="12" customHeight="1" x14ac:dyDescent="0.2">
      <c r="A1052"/>
      <c r="B1052"/>
      <c r="C1052"/>
      <c r="H1052"/>
      <c r="I1052"/>
      <c r="J1052" s="243"/>
      <c r="K1052"/>
      <c r="L1052"/>
      <c r="M1052"/>
      <c r="N1052"/>
      <c r="O1052"/>
      <c r="P1052"/>
    </row>
    <row r="1053" spans="1:16" ht="12" customHeight="1" x14ac:dyDescent="0.2">
      <c r="A1053"/>
      <c r="B1053"/>
      <c r="C1053"/>
      <c r="H1053"/>
      <c r="I1053"/>
      <c r="J1053" s="243"/>
      <c r="K1053"/>
      <c r="L1053"/>
      <c r="M1053"/>
      <c r="N1053"/>
      <c r="O1053"/>
      <c r="P1053"/>
    </row>
    <row r="1054" spans="1:16" ht="12" customHeight="1" x14ac:dyDescent="0.2">
      <c r="A1054"/>
      <c r="B1054"/>
      <c r="C1054"/>
      <c r="H1054"/>
      <c r="I1054"/>
      <c r="J1054" s="243"/>
      <c r="K1054"/>
      <c r="L1054"/>
      <c r="M1054"/>
      <c r="N1054"/>
      <c r="O1054"/>
      <c r="P1054"/>
    </row>
    <row r="1055" spans="1:16" ht="12" customHeight="1" x14ac:dyDescent="0.2">
      <c r="A1055"/>
      <c r="B1055"/>
      <c r="C1055"/>
      <c r="H1055"/>
      <c r="I1055"/>
      <c r="J1055" s="243"/>
      <c r="K1055"/>
      <c r="L1055"/>
      <c r="M1055"/>
      <c r="N1055"/>
      <c r="O1055"/>
      <c r="P1055"/>
    </row>
    <row r="1056" spans="1:16" ht="12" customHeight="1" x14ac:dyDescent="0.2">
      <c r="A1056"/>
      <c r="B1056"/>
      <c r="C1056"/>
      <c r="H1056"/>
      <c r="I1056"/>
      <c r="J1056" s="243"/>
      <c r="K1056"/>
      <c r="L1056"/>
      <c r="M1056"/>
      <c r="N1056"/>
      <c r="O1056"/>
      <c r="P1056"/>
    </row>
    <row r="1057" spans="1:16" ht="12" customHeight="1" x14ac:dyDescent="0.2">
      <c r="A1057"/>
      <c r="B1057"/>
      <c r="C1057"/>
      <c r="H1057"/>
      <c r="I1057"/>
      <c r="J1057" s="243"/>
      <c r="K1057"/>
      <c r="L1057"/>
      <c r="M1057"/>
      <c r="N1057"/>
      <c r="O1057"/>
      <c r="P1057"/>
    </row>
    <row r="1058" spans="1:16" ht="12" customHeight="1" x14ac:dyDescent="0.2">
      <c r="A1058"/>
      <c r="B1058"/>
      <c r="C1058"/>
      <c r="H1058"/>
      <c r="I1058"/>
      <c r="J1058" s="243"/>
      <c r="K1058"/>
      <c r="L1058"/>
      <c r="M1058"/>
      <c r="N1058"/>
      <c r="O1058"/>
      <c r="P1058"/>
    </row>
    <row r="1059" spans="1:16" ht="12" customHeight="1" x14ac:dyDescent="0.2">
      <c r="A1059"/>
      <c r="B1059"/>
      <c r="C1059"/>
      <c r="H1059"/>
      <c r="I1059"/>
      <c r="J1059" s="243"/>
      <c r="K1059"/>
      <c r="L1059"/>
      <c r="M1059"/>
      <c r="N1059"/>
      <c r="O1059"/>
      <c r="P1059"/>
    </row>
    <row r="1060" spans="1:16" ht="15" customHeight="1" x14ac:dyDescent="0.2">
      <c r="A1060"/>
      <c r="B1060"/>
      <c r="C1060"/>
      <c r="H1060"/>
      <c r="I1060"/>
      <c r="J1060" s="243"/>
      <c r="K1060"/>
      <c r="L1060"/>
      <c r="M1060"/>
      <c r="N1060"/>
      <c r="O1060"/>
      <c r="P1060"/>
    </row>
    <row r="1061" spans="1:16" ht="15" customHeight="1" x14ac:dyDescent="0.2">
      <c r="A1061"/>
      <c r="B1061"/>
      <c r="C1061"/>
      <c r="H1061"/>
      <c r="I1061"/>
      <c r="J1061" s="243"/>
      <c r="K1061"/>
      <c r="L1061"/>
      <c r="M1061"/>
      <c r="N1061"/>
      <c r="O1061"/>
      <c r="P1061"/>
    </row>
    <row r="1062" spans="1:16" ht="15" customHeight="1" x14ac:dyDescent="0.2">
      <c r="A1062"/>
      <c r="B1062"/>
      <c r="C1062"/>
      <c r="H1062"/>
      <c r="I1062"/>
      <c r="J1062" s="243"/>
      <c r="K1062"/>
      <c r="L1062"/>
      <c r="M1062"/>
      <c r="N1062"/>
      <c r="O1062"/>
      <c r="P1062"/>
    </row>
    <row r="1063" spans="1:16" ht="15" customHeight="1" x14ac:dyDescent="0.2">
      <c r="A1063"/>
      <c r="B1063"/>
      <c r="C1063"/>
      <c r="H1063"/>
      <c r="I1063"/>
      <c r="J1063" s="243"/>
      <c r="K1063"/>
      <c r="L1063"/>
      <c r="M1063"/>
      <c r="N1063"/>
      <c r="O1063"/>
      <c r="P1063"/>
    </row>
    <row r="1064" spans="1:16" ht="15" customHeight="1" x14ac:dyDescent="0.2">
      <c r="A1064"/>
      <c r="B1064"/>
      <c r="C1064"/>
      <c r="H1064"/>
      <c r="I1064"/>
      <c r="J1064" s="243"/>
      <c r="K1064"/>
      <c r="L1064"/>
      <c r="M1064"/>
      <c r="N1064"/>
      <c r="O1064"/>
      <c r="P1064"/>
    </row>
    <row r="1065" spans="1:16" ht="15" customHeight="1" x14ac:dyDescent="0.2">
      <c r="A1065"/>
      <c r="B1065"/>
      <c r="C1065"/>
      <c r="H1065"/>
      <c r="I1065"/>
      <c r="J1065" s="243"/>
      <c r="K1065"/>
      <c r="L1065"/>
      <c r="M1065"/>
      <c r="N1065"/>
      <c r="O1065"/>
      <c r="P1065"/>
    </row>
    <row r="1066" spans="1:16" ht="15" customHeight="1" x14ac:dyDescent="0.2">
      <c r="A1066"/>
      <c r="B1066"/>
      <c r="C1066"/>
      <c r="H1066"/>
      <c r="I1066"/>
      <c r="J1066" s="243"/>
      <c r="K1066"/>
      <c r="L1066"/>
      <c r="M1066"/>
      <c r="N1066"/>
      <c r="O1066"/>
      <c r="P1066"/>
    </row>
    <row r="1067" spans="1:16" ht="15" customHeight="1" x14ac:dyDescent="0.2">
      <c r="A1067"/>
      <c r="B1067"/>
      <c r="C1067"/>
      <c r="H1067"/>
      <c r="I1067"/>
      <c r="J1067" s="243"/>
      <c r="K1067"/>
      <c r="L1067"/>
      <c r="M1067"/>
      <c r="N1067"/>
      <c r="O1067"/>
      <c r="P1067"/>
    </row>
    <row r="1068" spans="1:16" ht="15" customHeight="1" x14ac:dyDescent="0.2">
      <c r="A1068"/>
      <c r="B1068"/>
      <c r="C1068"/>
      <c r="H1068"/>
      <c r="I1068"/>
      <c r="J1068" s="243"/>
      <c r="K1068"/>
      <c r="L1068"/>
      <c r="M1068"/>
      <c r="N1068"/>
      <c r="O1068"/>
      <c r="P1068"/>
    </row>
    <row r="1069" spans="1:16" ht="15" customHeight="1" x14ac:dyDescent="0.2">
      <c r="A1069"/>
      <c r="B1069"/>
      <c r="C1069"/>
      <c r="H1069"/>
      <c r="I1069"/>
      <c r="J1069" s="243"/>
      <c r="K1069"/>
      <c r="L1069"/>
      <c r="M1069"/>
      <c r="N1069"/>
      <c r="O1069"/>
      <c r="P1069"/>
    </row>
    <row r="1070" spans="1:16" ht="15" customHeight="1" x14ac:dyDescent="0.2">
      <c r="A1070"/>
      <c r="B1070"/>
      <c r="C1070"/>
      <c r="H1070"/>
      <c r="I1070"/>
      <c r="J1070" s="243"/>
      <c r="K1070"/>
      <c r="L1070"/>
      <c r="M1070"/>
      <c r="N1070"/>
      <c r="O1070"/>
      <c r="P1070"/>
    </row>
    <row r="1071" spans="1:16" ht="15" customHeight="1" x14ac:dyDescent="0.2">
      <c r="A1071"/>
      <c r="B1071"/>
      <c r="C1071"/>
      <c r="H1071"/>
      <c r="I1071"/>
      <c r="J1071" s="243"/>
      <c r="K1071"/>
      <c r="L1071"/>
      <c r="M1071"/>
      <c r="N1071"/>
      <c r="O1071"/>
      <c r="P1071"/>
    </row>
    <row r="1072" spans="1:16" ht="15" customHeight="1" x14ac:dyDescent="0.2">
      <c r="A1072"/>
      <c r="B1072"/>
      <c r="C1072"/>
      <c r="H1072"/>
      <c r="I1072"/>
      <c r="J1072" s="243"/>
      <c r="K1072"/>
      <c r="L1072"/>
      <c r="M1072"/>
      <c r="N1072"/>
      <c r="O1072"/>
      <c r="P1072"/>
    </row>
    <row r="1073" spans="1:16" ht="15" customHeight="1" x14ac:dyDescent="0.2">
      <c r="A1073"/>
      <c r="B1073"/>
      <c r="C1073"/>
      <c r="H1073"/>
      <c r="I1073"/>
      <c r="J1073" s="243"/>
      <c r="K1073"/>
      <c r="L1073"/>
      <c r="M1073"/>
      <c r="N1073"/>
      <c r="O1073"/>
      <c r="P1073"/>
    </row>
    <row r="1074" spans="1:16" ht="15" customHeight="1" x14ac:dyDescent="0.2">
      <c r="A1074"/>
      <c r="B1074"/>
      <c r="C1074"/>
      <c r="H1074"/>
      <c r="I1074"/>
      <c r="J1074" s="243"/>
      <c r="K1074"/>
      <c r="L1074"/>
      <c r="M1074"/>
      <c r="N1074"/>
      <c r="O1074"/>
      <c r="P1074"/>
    </row>
    <row r="1075" spans="1:16" ht="15" customHeight="1" x14ac:dyDescent="0.2">
      <c r="A1075"/>
      <c r="B1075"/>
      <c r="C1075"/>
      <c r="H1075"/>
      <c r="I1075"/>
      <c r="J1075" s="243"/>
      <c r="K1075"/>
      <c r="L1075"/>
      <c r="M1075"/>
      <c r="N1075"/>
      <c r="O1075"/>
      <c r="P1075"/>
    </row>
    <row r="1076" spans="1:16" ht="15" customHeight="1" x14ac:dyDescent="0.2">
      <c r="A1076"/>
      <c r="B1076"/>
      <c r="C1076"/>
      <c r="H1076"/>
      <c r="I1076"/>
      <c r="J1076" s="243"/>
      <c r="K1076"/>
      <c r="L1076"/>
      <c r="M1076"/>
      <c r="N1076"/>
      <c r="O1076"/>
      <c r="P1076"/>
    </row>
    <row r="1077" spans="1:16" ht="15" customHeight="1" x14ac:dyDescent="0.2">
      <c r="A1077"/>
      <c r="B1077"/>
      <c r="C1077"/>
      <c r="H1077"/>
      <c r="I1077"/>
      <c r="J1077" s="243"/>
      <c r="K1077"/>
      <c r="L1077"/>
      <c r="M1077"/>
      <c r="N1077"/>
      <c r="O1077"/>
      <c r="P1077"/>
    </row>
    <row r="1078" spans="1:16" ht="15" customHeight="1" x14ac:dyDescent="0.2">
      <c r="A1078"/>
      <c r="B1078"/>
      <c r="C1078"/>
      <c r="H1078"/>
      <c r="I1078"/>
      <c r="J1078" s="243"/>
      <c r="K1078"/>
      <c r="L1078"/>
      <c r="M1078"/>
      <c r="N1078"/>
      <c r="O1078"/>
      <c r="P1078"/>
    </row>
    <row r="1079" spans="1:16" ht="15" customHeight="1" x14ac:dyDescent="0.2">
      <c r="A1079"/>
      <c r="B1079"/>
      <c r="C1079"/>
      <c r="H1079"/>
      <c r="I1079"/>
      <c r="J1079" s="243"/>
      <c r="K1079"/>
      <c r="L1079"/>
      <c r="M1079"/>
      <c r="N1079"/>
      <c r="O1079"/>
      <c r="P1079"/>
    </row>
    <row r="1080" spans="1:16" ht="15" customHeight="1" x14ac:dyDescent="0.2">
      <c r="A1080"/>
      <c r="B1080"/>
      <c r="C1080"/>
      <c r="H1080"/>
      <c r="I1080"/>
      <c r="J1080" s="243"/>
      <c r="K1080"/>
      <c r="L1080"/>
      <c r="M1080"/>
      <c r="N1080"/>
      <c r="O1080"/>
      <c r="P1080"/>
    </row>
    <row r="1081" spans="1:16" ht="15" customHeight="1" x14ac:dyDescent="0.2">
      <c r="A1081"/>
      <c r="B1081"/>
      <c r="C1081"/>
      <c r="H1081"/>
      <c r="I1081"/>
      <c r="J1081" s="243"/>
      <c r="K1081"/>
      <c r="L1081"/>
      <c r="M1081"/>
      <c r="N1081"/>
      <c r="O1081"/>
      <c r="P1081"/>
    </row>
    <row r="1082" spans="1:16" ht="15" customHeight="1" x14ac:dyDescent="0.2">
      <c r="A1082"/>
      <c r="B1082"/>
      <c r="C1082"/>
      <c r="H1082"/>
      <c r="I1082"/>
      <c r="J1082" s="243"/>
      <c r="K1082"/>
      <c r="L1082"/>
      <c r="M1082"/>
      <c r="N1082"/>
      <c r="O1082"/>
      <c r="P1082"/>
    </row>
    <row r="1083" spans="1:16" ht="15" customHeight="1" x14ac:dyDescent="0.2">
      <c r="A1083"/>
      <c r="B1083"/>
      <c r="C1083"/>
      <c r="H1083"/>
      <c r="I1083"/>
      <c r="J1083" s="243"/>
      <c r="K1083"/>
      <c r="L1083"/>
      <c r="M1083"/>
      <c r="N1083"/>
      <c r="O1083"/>
      <c r="P1083"/>
    </row>
    <row r="1084" spans="1:16" ht="15" customHeight="1" x14ac:dyDescent="0.2">
      <c r="A1084"/>
      <c r="B1084"/>
      <c r="C1084"/>
      <c r="H1084"/>
      <c r="I1084"/>
      <c r="J1084" s="243"/>
      <c r="K1084"/>
      <c r="L1084"/>
      <c r="M1084"/>
      <c r="N1084"/>
      <c r="O1084"/>
      <c r="P1084"/>
    </row>
    <row r="1085" spans="1:16" ht="15" customHeight="1" x14ac:dyDescent="0.2">
      <c r="A1085"/>
      <c r="B1085"/>
      <c r="C1085"/>
      <c r="H1085"/>
      <c r="I1085"/>
      <c r="J1085" s="243"/>
      <c r="K1085"/>
      <c r="L1085"/>
      <c r="M1085"/>
      <c r="N1085"/>
      <c r="O1085"/>
      <c r="P1085"/>
    </row>
    <row r="1086" spans="1:16" ht="15" customHeight="1" x14ac:dyDescent="0.2">
      <c r="A1086"/>
      <c r="B1086"/>
      <c r="C1086"/>
      <c r="H1086"/>
      <c r="I1086"/>
      <c r="J1086" s="243"/>
      <c r="K1086"/>
      <c r="L1086"/>
      <c r="M1086"/>
      <c r="N1086"/>
      <c r="O1086"/>
      <c r="P1086"/>
    </row>
    <row r="1087" spans="1:16" ht="30.75" customHeight="1" x14ac:dyDescent="0.2">
      <c r="A1087"/>
      <c r="B1087"/>
      <c r="C1087"/>
      <c r="H1087"/>
      <c r="I1087"/>
      <c r="J1087" s="243"/>
      <c r="K1087"/>
      <c r="L1087"/>
      <c r="M1087"/>
      <c r="N1087"/>
      <c r="O1087"/>
      <c r="P1087"/>
    </row>
    <row r="1088" spans="1:16" ht="13.5" customHeight="1" x14ac:dyDescent="0.2">
      <c r="A1088"/>
      <c r="B1088"/>
      <c r="C1088"/>
      <c r="H1088"/>
      <c r="I1088"/>
      <c r="J1088" s="243"/>
      <c r="K1088"/>
      <c r="L1088"/>
      <c r="M1088"/>
      <c r="N1088"/>
      <c r="O1088"/>
      <c r="P1088"/>
    </row>
    <row r="1089" spans="1:16" ht="36.75" customHeight="1" x14ac:dyDescent="0.2">
      <c r="A1089"/>
      <c r="B1089"/>
      <c r="C1089"/>
      <c r="H1089"/>
      <c r="I1089"/>
      <c r="J1089" s="243"/>
      <c r="K1089"/>
      <c r="L1089"/>
      <c r="M1089"/>
      <c r="N1089"/>
      <c r="O1089"/>
      <c r="P1089"/>
    </row>
    <row r="1090" spans="1:16" ht="26.25" customHeight="1" x14ac:dyDescent="0.2">
      <c r="A1090"/>
      <c r="B1090"/>
      <c r="C1090"/>
      <c r="H1090"/>
      <c r="I1090"/>
      <c r="J1090" s="243"/>
      <c r="K1090"/>
      <c r="L1090"/>
      <c r="M1090"/>
      <c r="N1090"/>
      <c r="O1090"/>
      <c r="P1090"/>
    </row>
    <row r="1091" spans="1:16" x14ac:dyDescent="0.2">
      <c r="A1091"/>
      <c r="B1091"/>
      <c r="C1091"/>
      <c r="H1091"/>
      <c r="I1091"/>
      <c r="J1091" s="243"/>
      <c r="K1091"/>
      <c r="L1091"/>
      <c r="M1091"/>
      <c r="N1091"/>
      <c r="O1091"/>
      <c r="P1091"/>
    </row>
    <row r="1092" spans="1:16" x14ac:dyDescent="0.2">
      <c r="A1092"/>
      <c r="B1092"/>
      <c r="C1092"/>
      <c r="H1092"/>
      <c r="I1092"/>
      <c r="J1092" s="243"/>
      <c r="K1092"/>
      <c r="L1092"/>
      <c r="M1092"/>
      <c r="N1092"/>
      <c r="O1092"/>
      <c r="P1092"/>
    </row>
    <row r="1093" spans="1:16" x14ac:dyDescent="0.2">
      <c r="A1093"/>
      <c r="B1093"/>
      <c r="C1093"/>
      <c r="H1093"/>
      <c r="I1093"/>
      <c r="J1093" s="243"/>
      <c r="K1093"/>
      <c r="L1093"/>
      <c r="M1093"/>
      <c r="N1093"/>
      <c r="O1093"/>
      <c r="P1093"/>
    </row>
    <row r="1094" spans="1:16" ht="12" customHeight="1" x14ac:dyDescent="0.2">
      <c r="A1094"/>
      <c r="B1094"/>
      <c r="C1094"/>
      <c r="H1094"/>
      <c r="I1094"/>
      <c r="J1094" s="243"/>
      <c r="K1094"/>
      <c r="L1094"/>
      <c r="M1094"/>
      <c r="N1094"/>
      <c r="O1094"/>
      <c r="P1094"/>
    </row>
    <row r="1095" spans="1:16" ht="12" customHeight="1" x14ac:dyDescent="0.2">
      <c r="A1095"/>
      <c r="B1095"/>
      <c r="C1095"/>
      <c r="H1095"/>
      <c r="I1095"/>
      <c r="J1095" s="243"/>
      <c r="K1095"/>
      <c r="L1095"/>
      <c r="M1095"/>
      <c r="N1095"/>
      <c r="O1095"/>
      <c r="P1095"/>
    </row>
    <row r="1096" spans="1:16" ht="12" customHeight="1" x14ac:dyDescent="0.2">
      <c r="A1096"/>
      <c r="B1096"/>
      <c r="C1096"/>
      <c r="H1096"/>
      <c r="I1096"/>
      <c r="J1096" s="243"/>
      <c r="K1096"/>
      <c r="L1096"/>
      <c r="M1096"/>
      <c r="N1096"/>
      <c r="O1096"/>
      <c r="P1096"/>
    </row>
    <row r="1097" spans="1:16" ht="12" customHeight="1" x14ac:dyDescent="0.2">
      <c r="A1097"/>
      <c r="B1097"/>
      <c r="C1097"/>
      <c r="H1097"/>
      <c r="I1097"/>
      <c r="J1097" s="243"/>
      <c r="K1097"/>
      <c r="L1097"/>
      <c r="M1097"/>
      <c r="N1097"/>
      <c r="O1097"/>
      <c r="P1097"/>
    </row>
    <row r="1098" spans="1:16" ht="12" customHeight="1" x14ac:dyDescent="0.2">
      <c r="A1098"/>
      <c r="B1098"/>
      <c r="C1098"/>
      <c r="H1098"/>
      <c r="I1098"/>
      <c r="J1098" s="243"/>
      <c r="K1098"/>
      <c r="L1098"/>
      <c r="M1098"/>
      <c r="N1098"/>
      <c r="O1098"/>
      <c r="P1098"/>
    </row>
    <row r="1099" spans="1:16" ht="12" customHeight="1" x14ac:dyDescent="0.2">
      <c r="A1099"/>
      <c r="B1099"/>
      <c r="C1099"/>
      <c r="H1099"/>
      <c r="I1099"/>
      <c r="J1099" s="243"/>
      <c r="K1099"/>
      <c r="L1099"/>
      <c r="M1099"/>
      <c r="N1099"/>
      <c r="O1099"/>
      <c r="P1099"/>
    </row>
    <row r="1100" spans="1:16" ht="12" customHeight="1" x14ac:dyDescent="0.2">
      <c r="A1100"/>
      <c r="B1100"/>
      <c r="C1100"/>
      <c r="H1100"/>
      <c r="I1100"/>
      <c r="J1100" s="243"/>
      <c r="K1100"/>
      <c r="L1100"/>
      <c r="M1100"/>
      <c r="N1100"/>
      <c r="O1100"/>
      <c r="P1100"/>
    </row>
    <row r="1101" spans="1:16" ht="12" customHeight="1" x14ac:dyDescent="0.2">
      <c r="A1101"/>
      <c r="B1101"/>
      <c r="C1101"/>
      <c r="H1101"/>
      <c r="I1101"/>
      <c r="J1101" s="243"/>
      <c r="K1101"/>
      <c r="L1101"/>
      <c r="M1101"/>
      <c r="N1101"/>
      <c r="O1101"/>
      <c r="P1101"/>
    </row>
    <row r="1102" spans="1:16" ht="12" customHeight="1" x14ac:dyDescent="0.2">
      <c r="A1102"/>
      <c r="B1102"/>
      <c r="C1102"/>
      <c r="H1102"/>
      <c r="I1102"/>
      <c r="J1102" s="243"/>
      <c r="K1102"/>
      <c r="L1102"/>
      <c r="M1102"/>
      <c r="N1102"/>
      <c r="O1102"/>
      <c r="P1102"/>
    </row>
    <row r="1103" spans="1:16" ht="12" customHeight="1" x14ac:dyDescent="0.2">
      <c r="A1103"/>
      <c r="B1103"/>
      <c r="C1103"/>
      <c r="H1103"/>
      <c r="I1103"/>
      <c r="J1103" s="243"/>
      <c r="K1103"/>
      <c r="L1103"/>
      <c r="M1103"/>
      <c r="N1103"/>
      <c r="O1103"/>
      <c r="P1103"/>
    </row>
    <row r="1104" spans="1:16" x14ac:dyDescent="0.2">
      <c r="A1104"/>
      <c r="B1104"/>
      <c r="C1104"/>
      <c r="H1104"/>
      <c r="I1104"/>
      <c r="J1104" s="243"/>
      <c r="K1104"/>
      <c r="L1104"/>
      <c r="M1104"/>
      <c r="N1104"/>
      <c r="O1104"/>
      <c r="P1104"/>
    </row>
    <row r="1105" spans="1:16" x14ac:dyDescent="0.2">
      <c r="A1105"/>
      <c r="B1105"/>
      <c r="C1105"/>
      <c r="H1105"/>
      <c r="I1105"/>
      <c r="J1105" s="243"/>
      <c r="K1105"/>
      <c r="L1105"/>
      <c r="M1105"/>
      <c r="N1105"/>
      <c r="O1105"/>
      <c r="P1105"/>
    </row>
    <row r="1106" spans="1:16" ht="12" customHeight="1" x14ac:dyDescent="0.2">
      <c r="A1106"/>
      <c r="B1106"/>
      <c r="C1106"/>
      <c r="H1106"/>
      <c r="I1106"/>
      <c r="J1106" s="243"/>
      <c r="K1106"/>
      <c r="L1106"/>
      <c r="M1106"/>
      <c r="N1106"/>
      <c r="O1106"/>
      <c r="P1106"/>
    </row>
    <row r="1107" spans="1:16" ht="12" customHeight="1" x14ac:dyDescent="0.2">
      <c r="A1107"/>
      <c r="B1107"/>
      <c r="C1107"/>
      <c r="H1107"/>
      <c r="I1107"/>
      <c r="J1107" s="243"/>
      <c r="K1107"/>
      <c r="L1107"/>
      <c r="M1107"/>
      <c r="N1107"/>
      <c r="O1107"/>
      <c r="P1107"/>
    </row>
    <row r="1108" spans="1:16" ht="12" customHeight="1" x14ac:dyDescent="0.2">
      <c r="A1108"/>
      <c r="B1108"/>
      <c r="C1108"/>
      <c r="H1108"/>
      <c r="I1108"/>
      <c r="J1108" s="243"/>
      <c r="K1108"/>
      <c r="L1108"/>
      <c r="M1108"/>
      <c r="N1108"/>
      <c r="O1108"/>
      <c r="P1108"/>
    </row>
    <row r="1109" spans="1:16" ht="12" customHeight="1" x14ac:dyDescent="0.2">
      <c r="A1109"/>
      <c r="B1109"/>
      <c r="C1109"/>
      <c r="H1109"/>
      <c r="I1109"/>
      <c r="J1109" s="243"/>
      <c r="K1109"/>
      <c r="L1109"/>
      <c r="M1109"/>
      <c r="N1109"/>
      <c r="O1109"/>
      <c r="P1109"/>
    </row>
    <row r="1110" spans="1:16" ht="12" customHeight="1" x14ac:dyDescent="0.2">
      <c r="A1110"/>
      <c r="B1110"/>
      <c r="C1110"/>
      <c r="H1110"/>
      <c r="I1110"/>
      <c r="J1110" s="243"/>
      <c r="K1110"/>
      <c r="L1110"/>
      <c r="M1110"/>
      <c r="N1110"/>
      <c r="O1110"/>
      <c r="P1110"/>
    </row>
    <row r="1111" spans="1:16" ht="12" customHeight="1" x14ac:dyDescent="0.2">
      <c r="A1111"/>
      <c r="B1111"/>
      <c r="C1111"/>
      <c r="H1111"/>
      <c r="I1111"/>
      <c r="J1111" s="243"/>
      <c r="K1111"/>
      <c r="L1111"/>
      <c r="M1111"/>
      <c r="N1111"/>
      <c r="O1111"/>
      <c r="P1111"/>
    </row>
    <row r="1112" spans="1:16" ht="12" customHeight="1" x14ac:dyDescent="0.2">
      <c r="A1112"/>
      <c r="B1112"/>
      <c r="C1112"/>
      <c r="H1112"/>
      <c r="I1112"/>
      <c r="J1112" s="243"/>
      <c r="K1112"/>
      <c r="L1112"/>
      <c r="M1112"/>
      <c r="N1112"/>
      <c r="O1112"/>
      <c r="P1112"/>
    </row>
    <row r="1113" spans="1:16" ht="12" customHeight="1" x14ac:dyDescent="0.2">
      <c r="A1113"/>
      <c r="B1113"/>
      <c r="C1113"/>
      <c r="H1113"/>
      <c r="I1113"/>
      <c r="J1113" s="243"/>
      <c r="K1113"/>
      <c r="L1113"/>
      <c r="M1113"/>
      <c r="N1113"/>
      <c r="O1113"/>
      <c r="P1113"/>
    </row>
    <row r="1114" spans="1:16" ht="12" customHeight="1" x14ac:dyDescent="0.2">
      <c r="A1114"/>
      <c r="B1114"/>
      <c r="C1114"/>
      <c r="H1114"/>
      <c r="I1114"/>
      <c r="J1114" s="243"/>
      <c r="K1114"/>
      <c r="L1114"/>
      <c r="M1114"/>
      <c r="N1114"/>
      <c r="O1114"/>
      <c r="P1114"/>
    </row>
    <row r="1115" spans="1:16" ht="12" customHeight="1" x14ac:dyDescent="0.2">
      <c r="A1115"/>
      <c r="B1115"/>
      <c r="C1115"/>
      <c r="H1115"/>
      <c r="I1115"/>
      <c r="J1115" s="243"/>
      <c r="K1115"/>
      <c r="L1115"/>
      <c r="M1115"/>
      <c r="N1115"/>
      <c r="O1115"/>
      <c r="P1115"/>
    </row>
    <row r="1116" spans="1:16" ht="12" customHeight="1" x14ac:dyDescent="0.2">
      <c r="A1116"/>
      <c r="B1116"/>
      <c r="C1116"/>
      <c r="H1116"/>
      <c r="I1116"/>
      <c r="J1116" s="243"/>
      <c r="K1116"/>
      <c r="L1116"/>
      <c r="M1116"/>
      <c r="N1116"/>
      <c r="O1116"/>
      <c r="P1116"/>
    </row>
    <row r="1117" spans="1:16" ht="12" customHeight="1" x14ac:dyDescent="0.2">
      <c r="A1117"/>
      <c r="B1117"/>
      <c r="C1117"/>
      <c r="H1117"/>
      <c r="I1117"/>
      <c r="J1117" s="243"/>
      <c r="K1117"/>
      <c r="L1117"/>
      <c r="M1117"/>
      <c r="N1117"/>
      <c r="O1117"/>
      <c r="P1117"/>
    </row>
    <row r="1118" spans="1:16" ht="12" customHeight="1" x14ac:dyDescent="0.2">
      <c r="A1118"/>
      <c r="B1118"/>
      <c r="C1118"/>
      <c r="H1118"/>
      <c r="I1118"/>
      <c r="J1118" s="243"/>
      <c r="K1118"/>
      <c r="L1118"/>
      <c r="M1118"/>
      <c r="N1118"/>
      <c r="O1118"/>
      <c r="P1118"/>
    </row>
    <row r="1119" spans="1:16" ht="12" customHeight="1" x14ac:dyDescent="0.2">
      <c r="A1119"/>
      <c r="B1119"/>
      <c r="C1119"/>
      <c r="H1119"/>
      <c r="I1119"/>
      <c r="J1119" s="243"/>
      <c r="K1119"/>
      <c r="L1119"/>
      <c r="M1119"/>
      <c r="N1119"/>
      <c r="O1119"/>
      <c r="P1119"/>
    </row>
    <row r="1120" spans="1:16" ht="12" customHeight="1" x14ac:dyDescent="0.2">
      <c r="A1120"/>
      <c r="B1120"/>
      <c r="C1120"/>
      <c r="H1120"/>
      <c r="I1120"/>
      <c r="J1120" s="243"/>
      <c r="K1120"/>
      <c r="L1120"/>
      <c r="M1120"/>
      <c r="N1120"/>
      <c r="O1120"/>
      <c r="P1120"/>
    </row>
    <row r="1121" spans="1:18" ht="12" customHeight="1" x14ac:dyDescent="0.2">
      <c r="A1121"/>
      <c r="B1121"/>
      <c r="C1121"/>
      <c r="H1121"/>
      <c r="I1121"/>
      <c r="J1121" s="243"/>
      <c r="K1121"/>
      <c r="L1121"/>
      <c r="M1121"/>
      <c r="N1121"/>
      <c r="O1121"/>
      <c r="P1121"/>
    </row>
    <row r="1122" spans="1:18" ht="12" customHeight="1" x14ac:dyDescent="0.2">
      <c r="A1122"/>
      <c r="B1122"/>
      <c r="C1122"/>
      <c r="H1122"/>
      <c r="I1122"/>
      <c r="J1122" s="243"/>
      <c r="K1122"/>
      <c r="L1122"/>
      <c r="M1122"/>
      <c r="N1122"/>
      <c r="O1122"/>
      <c r="P1122"/>
    </row>
    <row r="1123" spans="1:18" ht="12" customHeight="1" x14ac:dyDescent="0.2">
      <c r="A1123"/>
      <c r="B1123"/>
      <c r="C1123"/>
      <c r="H1123"/>
      <c r="I1123"/>
      <c r="J1123" s="243"/>
      <c r="K1123"/>
      <c r="L1123"/>
      <c r="M1123"/>
      <c r="N1123"/>
      <c r="O1123"/>
      <c r="P1123"/>
    </row>
    <row r="1124" spans="1:18" ht="12" customHeight="1" x14ac:dyDescent="0.2">
      <c r="A1124"/>
      <c r="B1124"/>
      <c r="C1124"/>
      <c r="H1124"/>
      <c r="I1124"/>
      <c r="J1124" s="243"/>
      <c r="K1124"/>
      <c r="L1124"/>
      <c r="M1124"/>
      <c r="N1124"/>
      <c r="O1124"/>
      <c r="P1124"/>
    </row>
    <row r="1125" spans="1:18" ht="12" customHeight="1" x14ac:dyDescent="0.2">
      <c r="A1125"/>
      <c r="B1125"/>
      <c r="C1125"/>
      <c r="H1125"/>
      <c r="I1125"/>
      <c r="J1125" s="243"/>
      <c r="K1125"/>
      <c r="L1125"/>
      <c r="M1125"/>
      <c r="N1125"/>
      <c r="O1125"/>
      <c r="P1125"/>
    </row>
    <row r="1126" spans="1:18" x14ac:dyDescent="0.2">
      <c r="A1126"/>
      <c r="B1126"/>
      <c r="C1126"/>
      <c r="H1126"/>
      <c r="I1126"/>
      <c r="J1126" s="243"/>
      <c r="K1126"/>
      <c r="L1126"/>
      <c r="M1126"/>
      <c r="N1126"/>
      <c r="O1126"/>
      <c r="P1126"/>
    </row>
    <row r="1127" spans="1:18" ht="12" customHeight="1" x14ac:dyDescent="0.2">
      <c r="A1127"/>
      <c r="B1127"/>
      <c r="C1127"/>
      <c r="H1127"/>
      <c r="I1127"/>
      <c r="J1127" s="243"/>
      <c r="K1127"/>
      <c r="L1127"/>
      <c r="M1127"/>
      <c r="N1127"/>
      <c r="O1127"/>
      <c r="P1127"/>
    </row>
    <row r="1128" spans="1:18" ht="12" customHeight="1" x14ac:dyDescent="0.2">
      <c r="A1128"/>
      <c r="B1128"/>
      <c r="C1128"/>
      <c r="H1128"/>
      <c r="I1128"/>
      <c r="J1128" s="243"/>
      <c r="K1128"/>
      <c r="L1128"/>
      <c r="M1128"/>
      <c r="N1128"/>
      <c r="O1128"/>
      <c r="P1128"/>
    </row>
    <row r="1129" spans="1:18" ht="12" customHeight="1" x14ac:dyDescent="0.2">
      <c r="A1129"/>
      <c r="B1129"/>
      <c r="C1129"/>
      <c r="H1129"/>
      <c r="I1129"/>
      <c r="J1129" s="243"/>
      <c r="K1129"/>
      <c r="L1129"/>
      <c r="M1129"/>
      <c r="N1129"/>
      <c r="O1129"/>
      <c r="P1129"/>
    </row>
    <row r="1130" spans="1:18" ht="12" customHeight="1" x14ac:dyDescent="0.2">
      <c r="A1130"/>
      <c r="B1130"/>
      <c r="C1130"/>
      <c r="H1130"/>
      <c r="I1130"/>
      <c r="J1130" s="243"/>
      <c r="K1130"/>
      <c r="L1130"/>
      <c r="M1130"/>
      <c r="N1130"/>
      <c r="O1130"/>
      <c r="P1130"/>
    </row>
    <row r="1131" spans="1:18" ht="12" customHeight="1" x14ac:dyDescent="0.2">
      <c r="A1131"/>
      <c r="B1131"/>
      <c r="C1131"/>
      <c r="H1131"/>
      <c r="I1131"/>
      <c r="J1131" s="243"/>
      <c r="K1131"/>
      <c r="L1131"/>
      <c r="M1131"/>
      <c r="N1131"/>
      <c r="O1131"/>
      <c r="P1131"/>
    </row>
    <row r="1132" spans="1:18" ht="12" customHeight="1" x14ac:dyDescent="0.2">
      <c r="A1132"/>
      <c r="B1132"/>
      <c r="C1132"/>
      <c r="H1132"/>
      <c r="I1132"/>
      <c r="J1132" s="243"/>
      <c r="K1132"/>
      <c r="L1132"/>
      <c r="M1132"/>
      <c r="N1132"/>
      <c r="O1132"/>
      <c r="P1132"/>
    </row>
    <row r="1133" spans="1:18" ht="12" customHeight="1" x14ac:dyDescent="0.2">
      <c r="A1133"/>
      <c r="B1133"/>
      <c r="C1133"/>
      <c r="H1133"/>
      <c r="I1133"/>
      <c r="J1133" s="243"/>
      <c r="K1133"/>
      <c r="L1133"/>
      <c r="M1133"/>
      <c r="N1133"/>
      <c r="O1133"/>
      <c r="P1133"/>
    </row>
    <row r="1134" spans="1:18" x14ac:dyDescent="0.2">
      <c r="A1134"/>
      <c r="B1134"/>
      <c r="C1134"/>
      <c r="H1134"/>
      <c r="I1134"/>
      <c r="J1134" s="243"/>
      <c r="K1134"/>
      <c r="L1134"/>
      <c r="M1134"/>
      <c r="N1134"/>
      <c r="O1134"/>
      <c r="P1134"/>
    </row>
    <row r="1135" spans="1:18" s="485" customFormat="1" ht="24" customHeight="1" x14ac:dyDescent="0.2">
      <c r="J1135" s="540"/>
      <c r="R1135" s="1008"/>
    </row>
    <row r="1136" spans="1:18" x14ac:dyDescent="0.2">
      <c r="A1136"/>
      <c r="B1136"/>
      <c r="C1136"/>
      <c r="H1136"/>
      <c r="I1136"/>
      <c r="J1136" s="243"/>
      <c r="K1136"/>
      <c r="L1136"/>
      <c r="M1136"/>
      <c r="N1136"/>
      <c r="O1136"/>
      <c r="P1136"/>
    </row>
    <row r="1137" spans="1:18" ht="12" customHeight="1" x14ac:dyDescent="0.2">
      <c r="A1137"/>
      <c r="B1137"/>
      <c r="C1137"/>
      <c r="H1137"/>
      <c r="I1137"/>
      <c r="J1137" s="243"/>
      <c r="K1137"/>
      <c r="L1137"/>
      <c r="M1137"/>
      <c r="N1137"/>
      <c r="O1137"/>
      <c r="P1137"/>
    </row>
    <row r="1138" spans="1:18" x14ac:dyDescent="0.2">
      <c r="A1138"/>
      <c r="B1138"/>
      <c r="C1138"/>
      <c r="H1138"/>
      <c r="I1138"/>
      <c r="J1138" s="243"/>
      <c r="K1138"/>
      <c r="L1138"/>
      <c r="M1138"/>
      <c r="N1138"/>
      <c r="O1138"/>
      <c r="P1138"/>
    </row>
    <row r="1139" spans="1:18" x14ac:dyDescent="0.2">
      <c r="A1139"/>
      <c r="B1139"/>
      <c r="C1139"/>
      <c r="H1139"/>
      <c r="I1139"/>
      <c r="J1139" s="243"/>
      <c r="K1139"/>
      <c r="L1139"/>
      <c r="M1139"/>
      <c r="N1139"/>
      <c r="O1139"/>
      <c r="P1139"/>
    </row>
    <row r="1140" spans="1:18" x14ac:dyDescent="0.2">
      <c r="A1140"/>
      <c r="B1140"/>
      <c r="C1140"/>
      <c r="H1140"/>
      <c r="I1140"/>
      <c r="J1140" s="243"/>
      <c r="K1140"/>
      <c r="L1140"/>
      <c r="M1140"/>
      <c r="N1140"/>
      <c r="O1140"/>
      <c r="P1140"/>
    </row>
    <row r="1141" spans="1:18" s="485" customFormat="1" x14ac:dyDescent="0.2">
      <c r="J1141" s="540"/>
      <c r="R1141" s="1008"/>
    </row>
    <row r="1142" spans="1:18" x14ac:dyDescent="0.2">
      <c r="A1142"/>
      <c r="B1142"/>
      <c r="C1142"/>
      <c r="H1142"/>
      <c r="I1142"/>
      <c r="J1142" s="243"/>
      <c r="K1142"/>
      <c r="L1142"/>
      <c r="M1142"/>
      <c r="N1142"/>
      <c r="O1142"/>
      <c r="P1142"/>
    </row>
    <row r="1143" spans="1:18" ht="12" customHeight="1" x14ac:dyDescent="0.2">
      <c r="A1143"/>
      <c r="B1143"/>
      <c r="C1143"/>
      <c r="H1143"/>
      <c r="I1143"/>
      <c r="J1143" s="243"/>
      <c r="K1143"/>
      <c r="L1143"/>
      <c r="M1143"/>
      <c r="N1143"/>
      <c r="O1143"/>
      <c r="P1143"/>
    </row>
    <row r="1144" spans="1:18" ht="12" customHeight="1" x14ac:dyDescent="0.2">
      <c r="A1144"/>
      <c r="B1144"/>
      <c r="C1144"/>
      <c r="H1144"/>
      <c r="I1144"/>
      <c r="J1144" s="243"/>
      <c r="K1144"/>
      <c r="L1144"/>
      <c r="M1144"/>
      <c r="N1144"/>
      <c r="O1144"/>
      <c r="P1144"/>
    </row>
    <row r="1145" spans="1:18" ht="12" customHeight="1" x14ac:dyDescent="0.2">
      <c r="A1145"/>
      <c r="B1145"/>
      <c r="C1145"/>
      <c r="H1145"/>
      <c r="I1145"/>
      <c r="J1145" s="243"/>
      <c r="K1145"/>
      <c r="L1145"/>
      <c r="M1145"/>
      <c r="N1145"/>
      <c r="O1145"/>
      <c r="P1145"/>
    </row>
    <row r="1146" spans="1:18" ht="12" customHeight="1" x14ac:dyDescent="0.2">
      <c r="A1146"/>
      <c r="B1146"/>
      <c r="C1146"/>
      <c r="H1146"/>
      <c r="I1146"/>
      <c r="J1146" s="243"/>
      <c r="K1146"/>
      <c r="L1146"/>
      <c r="M1146"/>
      <c r="N1146"/>
      <c r="O1146"/>
      <c r="P1146"/>
    </row>
    <row r="1147" spans="1:18" ht="12" customHeight="1" x14ac:dyDescent="0.2">
      <c r="A1147"/>
      <c r="B1147"/>
      <c r="C1147"/>
      <c r="H1147"/>
      <c r="I1147"/>
      <c r="J1147" s="243"/>
      <c r="K1147"/>
      <c r="L1147"/>
      <c r="M1147"/>
      <c r="N1147"/>
      <c r="O1147"/>
      <c r="P1147"/>
    </row>
    <row r="1148" spans="1:18" ht="12" customHeight="1" x14ac:dyDescent="0.2">
      <c r="A1148"/>
      <c r="B1148"/>
      <c r="C1148"/>
      <c r="H1148"/>
      <c r="I1148"/>
      <c r="J1148" s="243"/>
      <c r="K1148"/>
      <c r="L1148"/>
      <c r="M1148"/>
      <c r="N1148"/>
      <c r="O1148"/>
      <c r="P1148"/>
    </row>
    <row r="1149" spans="1:18" ht="15" customHeight="1" x14ac:dyDescent="0.2">
      <c r="A1149"/>
      <c r="B1149"/>
      <c r="C1149"/>
      <c r="H1149"/>
      <c r="I1149"/>
      <c r="J1149" s="243"/>
      <c r="K1149"/>
      <c r="L1149"/>
      <c r="M1149"/>
      <c r="N1149"/>
      <c r="O1149"/>
      <c r="P1149"/>
    </row>
    <row r="1150" spans="1:18" x14ac:dyDescent="0.2">
      <c r="A1150"/>
      <c r="B1150"/>
      <c r="C1150"/>
      <c r="H1150"/>
      <c r="I1150"/>
      <c r="J1150" s="243"/>
      <c r="K1150"/>
      <c r="L1150"/>
      <c r="M1150"/>
      <c r="N1150"/>
      <c r="O1150"/>
      <c r="P1150"/>
    </row>
    <row r="1151" spans="1:18" ht="12" customHeight="1" x14ac:dyDescent="0.2">
      <c r="A1151"/>
      <c r="B1151"/>
      <c r="C1151"/>
      <c r="H1151"/>
      <c r="I1151"/>
      <c r="J1151" s="243"/>
      <c r="K1151"/>
      <c r="L1151"/>
      <c r="M1151"/>
      <c r="N1151"/>
      <c r="O1151"/>
      <c r="P1151"/>
    </row>
    <row r="1152" spans="1:18" ht="12" customHeight="1" x14ac:dyDescent="0.2">
      <c r="A1152"/>
      <c r="B1152"/>
      <c r="C1152"/>
      <c r="H1152"/>
      <c r="I1152"/>
      <c r="J1152" s="243"/>
      <c r="K1152"/>
      <c r="L1152"/>
      <c r="M1152"/>
      <c r="N1152"/>
      <c r="O1152"/>
      <c r="P1152"/>
    </row>
    <row r="1153" spans="1:16" ht="12" customHeight="1" x14ac:dyDescent="0.2">
      <c r="A1153"/>
      <c r="B1153"/>
      <c r="C1153"/>
      <c r="H1153"/>
      <c r="I1153"/>
      <c r="J1153" s="243"/>
      <c r="K1153"/>
      <c r="L1153"/>
      <c r="M1153"/>
      <c r="N1153"/>
      <c r="O1153"/>
      <c r="P1153"/>
    </row>
    <row r="1154" spans="1:16" ht="12" customHeight="1" x14ac:dyDescent="0.2">
      <c r="A1154"/>
      <c r="B1154"/>
      <c r="C1154"/>
      <c r="H1154"/>
      <c r="I1154"/>
      <c r="J1154" s="243"/>
      <c r="K1154"/>
      <c r="L1154"/>
      <c r="M1154"/>
      <c r="N1154"/>
      <c r="O1154"/>
      <c r="P1154"/>
    </row>
    <row r="1155" spans="1:16" ht="12" customHeight="1" x14ac:dyDescent="0.2">
      <c r="A1155"/>
      <c r="B1155"/>
      <c r="C1155"/>
      <c r="H1155"/>
      <c r="I1155"/>
      <c r="J1155" s="243"/>
      <c r="K1155"/>
      <c r="L1155"/>
      <c r="M1155"/>
      <c r="N1155"/>
      <c r="O1155"/>
      <c r="P1155"/>
    </row>
    <row r="1156" spans="1:16" ht="12" customHeight="1" x14ac:dyDescent="0.2">
      <c r="A1156"/>
      <c r="B1156"/>
      <c r="C1156"/>
      <c r="H1156"/>
      <c r="I1156"/>
      <c r="J1156" s="243"/>
      <c r="K1156"/>
      <c r="L1156"/>
      <c r="M1156"/>
      <c r="N1156"/>
      <c r="O1156"/>
      <c r="P1156"/>
    </row>
    <row r="1157" spans="1:16" ht="12" customHeight="1" x14ac:dyDescent="0.2">
      <c r="A1157"/>
      <c r="B1157"/>
      <c r="C1157"/>
      <c r="H1157"/>
      <c r="I1157"/>
      <c r="J1157" s="243"/>
      <c r="K1157"/>
      <c r="L1157"/>
      <c r="M1157"/>
      <c r="N1157"/>
      <c r="O1157"/>
      <c r="P1157"/>
    </row>
    <row r="1158" spans="1:16" ht="12" customHeight="1" x14ac:dyDescent="0.2">
      <c r="A1158"/>
      <c r="B1158"/>
      <c r="C1158"/>
      <c r="H1158"/>
      <c r="I1158"/>
      <c r="J1158" s="243"/>
      <c r="K1158"/>
      <c r="L1158"/>
      <c r="M1158"/>
      <c r="N1158"/>
      <c r="O1158"/>
      <c r="P1158"/>
    </row>
    <row r="1159" spans="1:16" ht="12" customHeight="1" x14ac:dyDescent="0.2">
      <c r="A1159"/>
      <c r="B1159"/>
      <c r="C1159"/>
      <c r="H1159"/>
      <c r="I1159"/>
      <c r="J1159" s="243"/>
      <c r="K1159"/>
      <c r="L1159"/>
      <c r="M1159"/>
      <c r="N1159"/>
      <c r="O1159"/>
      <c r="P1159"/>
    </row>
    <row r="1160" spans="1:16" ht="12" customHeight="1" x14ac:dyDescent="0.2">
      <c r="A1160"/>
      <c r="B1160"/>
      <c r="C1160"/>
      <c r="H1160"/>
      <c r="I1160"/>
      <c r="J1160" s="243"/>
      <c r="K1160"/>
      <c r="L1160"/>
      <c r="M1160"/>
      <c r="N1160"/>
      <c r="O1160"/>
      <c r="P1160"/>
    </row>
    <row r="1161" spans="1:16" ht="12" customHeight="1" x14ac:dyDescent="0.2">
      <c r="A1161"/>
      <c r="B1161"/>
      <c r="C1161"/>
      <c r="H1161"/>
      <c r="I1161"/>
      <c r="J1161" s="243"/>
      <c r="K1161"/>
      <c r="L1161"/>
      <c r="M1161"/>
      <c r="N1161"/>
      <c r="O1161"/>
      <c r="P1161"/>
    </row>
    <row r="1162" spans="1:16" ht="12" customHeight="1" x14ac:dyDescent="0.2">
      <c r="A1162"/>
      <c r="B1162"/>
      <c r="C1162"/>
      <c r="H1162"/>
      <c r="I1162"/>
      <c r="J1162" s="243"/>
      <c r="K1162"/>
      <c r="L1162"/>
      <c r="M1162"/>
      <c r="N1162"/>
      <c r="O1162"/>
      <c r="P1162"/>
    </row>
    <row r="1163" spans="1:16" ht="15" customHeight="1" x14ac:dyDescent="0.2">
      <c r="A1163"/>
      <c r="B1163"/>
      <c r="C1163"/>
      <c r="H1163"/>
      <c r="I1163"/>
      <c r="J1163" s="243"/>
      <c r="K1163"/>
      <c r="L1163"/>
      <c r="M1163"/>
      <c r="N1163"/>
      <c r="O1163"/>
      <c r="P1163"/>
    </row>
    <row r="1164" spans="1:16" ht="15" customHeight="1" x14ac:dyDescent="0.2">
      <c r="A1164"/>
      <c r="B1164"/>
      <c r="C1164"/>
      <c r="H1164"/>
      <c r="I1164"/>
      <c r="J1164" s="243"/>
      <c r="K1164"/>
      <c r="L1164"/>
      <c r="M1164"/>
      <c r="N1164"/>
      <c r="O1164"/>
      <c r="P1164"/>
    </row>
    <row r="1165" spans="1:16" ht="15" customHeight="1" x14ac:dyDescent="0.2">
      <c r="A1165"/>
      <c r="B1165"/>
      <c r="C1165"/>
      <c r="H1165"/>
      <c r="I1165"/>
      <c r="J1165" s="243"/>
      <c r="K1165"/>
      <c r="L1165"/>
      <c r="M1165"/>
      <c r="N1165"/>
      <c r="O1165"/>
      <c r="P1165"/>
    </row>
    <row r="1166" spans="1:16" ht="15" customHeight="1" x14ac:dyDescent="0.2">
      <c r="A1166"/>
      <c r="B1166"/>
      <c r="C1166"/>
      <c r="H1166"/>
      <c r="I1166"/>
      <c r="J1166" s="243"/>
      <c r="K1166"/>
      <c r="L1166"/>
      <c r="M1166"/>
      <c r="N1166"/>
      <c r="O1166"/>
      <c r="P1166"/>
    </row>
    <row r="1167" spans="1:16" ht="15" customHeight="1" x14ac:dyDescent="0.2">
      <c r="A1167"/>
      <c r="B1167"/>
      <c r="C1167"/>
      <c r="H1167"/>
      <c r="I1167"/>
      <c r="J1167" s="243"/>
      <c r="K1167"/>
      <c r="L1167"/>
      <c r="M1167"/>
      <c r="N1167"/>
      <c r="O1167"/>
      <c r="P1167"/>
    </row>
    <row r="1168" spans="1:16" ht="15" customHeight="1" x14ac:dyDescent="0.2">
      <c r="A1168"/>
      <c r="B1168"/>
      <c r="C1168"/>
      <c r="H1168"/>
      <c r="I1168"/>
      <c r="J1168" s="243"/>
      <c r="K1168"/>
      <c r="L1168"/>
      <c r="M1168"/>
      <c r="N1168"/>
      <c r="O1168"/>
      <c r="P1168"/>
    </row>
    <row r="1169" spans="1:16" ht="15" customHeight="1" x14ac:dyDescent="0.2">
      <c r="A1169"/>
      <c r="B1169"/>
      <c r="C1169"/>
      <c r="H1169"/>
      <c r="I1169"/>
      <c r="J1169" s="243"/>
      <c r="K1169"/>
      <c r="L1169"/>
      <c r="M1169"/>
      <c r="N1169"/>
      <c r="O1169"/>
      <c r="P1169"/>
    </row>
    <row r="1170" spans="1:16" ht="15" customHeight="1" x14ac:dyDescent="0.2">
      <c r="A1170"/>
      <c r="B1170"/>
      <c r="C1170"/>
      <c r="H1170"/>
      <c r="I1170"/>
      <c r="J1170" s="243"/>
      <c r="K1170"/>
      <c r="L1170"/>
      <c r="M1170"/>
      <c r="N1170"/>
      <c r="O1170"/>
      <c r="P1170"/>
    </row>
    <row r="1171" spans="1:16" ht="15" customHeight="1" x14ac:dyDescent="0.2">
      <c r="A1171"/>
      <c r="B1171"/>
      <c r="C1171"/>
      <c r="H1171"/>
      <c r="I1171"/>
      <c r="J1171" s="243"/>
      <c r="K1171"/>
      <c r="L1171"/>
      <c r="M1171"/>
      <c r="N1171"/>
      <c r="O1171"/>
      <c r="P1171"/>
    </row>
    <row r="1172" spans="1:16" ht="15" customHeight="1" x14ac:dyDescent="0.2">
      <c r="A1172"/>
      <c r="B1172"/>
      <c r="C1172"/>
      <c r="H1172"/>
      <c r="I1172"/>
      <c r="J1172" s="243"/>
      <c r="K1172"/>
      <c r="L1172"/>
      <c r="M1172"/>
      <c r="N1172"/>
      <c r="O1172"/>
      <c r="P1172"/>
    </row>
    <row r="1173" spans="1:16" ht="15" customHeight="1" x14ac:dyDescent="0.2">
      <c r="A1173"/>
      <c r="B1173"/>
      <c r="C1173"/>
      <c r="H1173"/>
      <c r="I1173"/>
      <c r="J1173" s="243"/>
      <c r="K1173"/>
      <c r="L1173"/>
      <c r="M1173"/>
      <c r="N1173"/>
      <c r="O1173"/>
      <c r="P1173"/>
    </row>
    <row r="1174" spans="1:16" ht="15" customHeight="1" x14ac:dyDescent="0.2">
      <c r="A1174"/>
      <c r="B1174"/>
      <c r="C1174"/>
      <c r="H1174"/>
      <c r="I1174"/>
      <c r="J1174" s="243"/>
      <c r="K1174"/>
      <c r="L1174"/>
      <c r="M1174"/>
      <c r="N1174"/>
      <c r="O1174"/>
      <c r="P1174"/>
    </row>
    <row r="1175" spans="1:16" ht="15" customHeight="1" x14ac:dyDescent="0.2">
      <c r="A1175"/>
      <c r="B1175"/>
      <c r="C1175"/>
      <c r="H1175"/>
      <c r="I1175"/>
      <c r="J1175" s="243"/>
      <c r="K1175"/>
      <c r="L1175"/>
      <c r="M1175"/>
      <c r="N1175"/>
      <c r="O1175"/>
      <c r="P1175"/>
    </row>
    <row r="1176" spans="1:16" ht="15" customHeight="1" x14ac:dyDescent="0.2">
      <c r="A1176"/>
      <c r="B1176"/>
      <c r="C1176"/>
      <c r="H1176"/>
      <c r="I1176"/>
      <c r="J1176" s="243"/>
      <c r="K1176"/>
      <c r="L1176"/>
      <c r="M1176"/>
      <c r="N1176"/>
      <c r="O1176"/>
      <c r="P1176"/>
    </row>
    <row r="1177" spans="1:16" ht="15" customHeight="1" x14ac:dyDescent="0.2">
      <c r="A1177"/>
      <c r="B1177"/>
      <c r="C1177"/>
      <c r="H1177"/>
      <c r="I1177"/>
      <c r="J1177" s="243"/>
      <c r="K1177"/>
      <c r="L1177"/>
      <c r="M1177"/>
      <c r="N1177"/>
      <c r="O1177"/>
      <c r="P1177"/>
    </row>
    <row r="1178" spans="1:16" ht="15" customHeight="1" x14ac:dyDescent="0.2">
      <c r="A1178"/>
      <c r="B1178"/>
      <c r="C1178"/>
      <c r="H1178"/>
      <c r="I1178"/>
      <c r="J1178" s="243"/>
      <c r="K1178"/>
      <c r="L1178"/>
      <c r="M1178"/>
      <c r="N1178"/>
      <c r="O1178"/>
      <c r="P1178"/>
    </row>
    <row r="1179" spans="1:16" ht="15" customHeight="1" x14ac:dyDescent="0.2">
      <c r="A1179"/>
      <c r="B1179"/>
      <c r="C1179"/>
      <c r="H1179"/>
      <c r="I1179"/>
      <c r="J1179" s="243"/>
      <c r="K1179"/>
      <c r="L1179"/>
      <c r="M1179"/>
      <c r="N1179"/>
      <c r="O1179"/>
      <c r="P1179"/>
    </row>
    <row r="1180" spans="1:16" ht="15" customHeight="1" x14ac:dyDescent="0.2">
      <c r="A1180"/>
      <c r="B1180"/>
      <c r="C1180"/>
      <c r="H1180"/>
      <c r="I1180"/>
      <c r="J1180" s="243"/>
      <c r="K1180"/>
      <c r="L1180"/>
      <c r="M1180"/>
      <c r="N1180"/>
      <c r="O1180"/>
      <c r="P1180"/>
    </row>
    <row r="1181" spans="1:16" ht="15" customHeight="1" x14ac:dyDescent="0.2">
      <c r="A1181"/>
      <c r="B1181"/>
      <c r="C1181"/>
      <c r="H1181"/>
      <c r="I1181"/>
      <c r="J1181" s="243"/>
      <c r="K1181"/>
      <c r="L1181"/>
      <c r="M1181"/>
      <c r="N1181"/>
      <c r="O1181"/>
      <c r="P1181"/>
    </row>
    <row r="1182" spans="1:16" ht="15" customHeight="1" x14ac:dyDescent="0.2">
      <c r="A1182"/>
      <c r="B1182"/>
      <c r="C1182"/>
      <c r="H1182"/>
      <c r="I1182"/>
      <c r="J1182" s="243"/>
      <c r="K1182"/>
      <c r="L1182"/>
      <c r="M1182"/>
      <c r="N1182"/>
      <c r="O1182"/>
      <c r="P1182"/>
    </row>
    <row r="1183" spans="1:16" ht="15" customHeight="1" x14ac:dyDescent="0.2">
      <c r="A1183"/>
      <c r="B1183"/>
      <c r="C1183"/>
      <c r="H1183"/>
      <c r="I1183"/>
      <c r="J1183" s="243"/>
      <c r="K1183"/>
      <c r="L1183"/>
      <c r="M1183"/>
      <c r="N1183"/>
      <c r="O1183"/>
      <c r="P1183"/>
    </row>
    <row r="1184" spans="1:16" ht="15" customHeight="1" x14ac:dyDescent="0.2">
      <c r="A1184"/>
      <c r="B1184"/>
      <c r="C1184"/>
      <c r="H1184"/>
      <c r="I1184"/>
      <c r="J1184" s="243"/>
      <c r="K1184"/>
      <c r="L1184"/>
      <c r="M1184"/>
      <c r="N1184"/>
      <c r="O1184"/>
      <c r="P1184"/>
    </row>
    <row r="1185" spans="1:16" ht="15" customHeight="1" x14ac:dyDescent="0.2">
      <c r="A1185"/>
      <c r="B1185"/>
      <c r="C1185"/>
      <c r="H1185"/>
      <c r="I1185"/>
      <c r="J1185" s="243"/>
      <c r="K1185"/>
      <c r="L1185"/>
      <c r="M1185"/>
      <c r="N1185"/>
      <c r="O1185"/>
      <c r="P1185"/>
    </row>
    <row r="1186" spans="1:16" ht="15" customHeight="1" x14ac:dyDescent="0.2">
      <c r="A1186"/>
      <c r="B1186"/>
      <c r="C1186"/>
      <c r="H1186"/>
      <c r="I1186"/>
      <c r="J1186" s="243"/>
      <c r="K1186"/>
      <c r="L1186"/>
      <c r="M1186"/>
      <c r="N1186"/>
      <c r="O1186"/>
      <c r="P1186"/>
    </row>
    <row r="1187" spans="1:16" ht="15" customHeight="1" x14ac:dyDescent="0.2">
      <c r="A1187"/>
      <c r="B1187"/>
      <c r="C1187"/>
      <c r="H1187"/>
      <c r="I1187"/>
      <c r="J1187" s="243"/>
      <c r="K1187"/>
      <c r="L1187"/>
      <c r="M1187"/>
      <c r="N1187"/>
      <c r="O1187"/>
      <c r="P1187"/>
    </row>
    <row r="1188" spans="1:16" ht="15" customHeight="1" x14ac:dyDescent="0.2">
      <c r="A1188"/>
      <c r="B1188"/>
      <c r="C1188"/>
      <c r="H1188"/>
      <c r="I1188"/>
      <c r="J1188" s="243"/>
      <c r="K1188"/>
      <c r="L1188"/>
      <c r="M1188"/>
      <c r="N1188"/>
      <c r="O1188"/>
      <c r="P1188"/>
    </row>
    <row r="1189" spans="1:16" ht="15" customHeight="1" x14ac:dyDescent="0.2">
      <c r="A1189"/>
      <c r="B1189"/>
      <c r="C1189"/>
      <c r="H1189"/>
      <c r="I1189"/>
      <c r="J1189" s="243"/>
      <c r="K1189"/>
      <c r="L1189"/>
      <c r="M1189"/>
      <c r="N1189"/>
      <c r="O1189"/>
      <c r="P1189"/>
    </row>
    <row r="1190" spans="1:16" ht="15" customHeight="1" x14ac:dyDescent="0.2">
      <c r="A1190"/>
      <c r="B1190"/>
      <c r="C1190"/>
      <c r="H1190"/>
      <c r="I1190"/>
      <c r="J1190" s="243"/>
      <c r="K1190"/>
      <c r="L1190"/>
      <c r="M1190"/>
      <c r="N1190"/>
      <c r="O1190"/>
      <c r="P1190"/>
    </row>
    <row r="1191" spans="1:16" ht="15" customHeight="1" x14ac:dyDescent="0.2">
      <c r="A1191"/>
      <c r="B1191"/>
      <c r="C1191"/>
      <c r="H1191"/>
      <c r="I1191"/>
      <c r="J1191" s="243"/>
      <c r="K1191"/>
      <c r="L1191"/>
      <c r="M1191"/>
      <c r="N1191"/>
      <c r="O1191"/>
      <c r="P1191"/>
    </row>
    <row r="1192" spans="1:16" ht="15" customHeight="1" x14ac:dyDescent="0.2">
      <c r="A1192"/>
      <c r="B1192"/>
      <c r="C1192"/>
      <c r="H1192"/>
      <c r="I1192"/>
      <c r="J1192" s="243"/>
      <c r="K1192"/>
      <c r="L1192"/>
      <c r="M1192"/>
      <c r="N1192"/>
      <c r="O1192"/>
      <c r="P1192"/>
    </row>
    <row r="1193" spans="1:16" ht="15" customHeight="1" x14ac:dyDescent="0.2">
      <c r="A1193"/>
      <c r="B1193"/>
      <c r="C1193"/>
      <c r="H1193"/>
      <c r="I1193"/>
      <c r="J1193" s="243"/>
      <c r="K1193"/>
      <c r="L1193"/>
      <c r="M1193"/>
      <c r="N1193"/>
      <c r="O1193"/>
      <c r="P1193"/>
    </row>
    <row r="1194" spans="1:16" ht="15" customHeight="1" x14ac:dyDescent="0.2">
      <c r="A1194"/>
      <c r="B1194"/>
      <c r="C1194"/>
      <c r="H1194"/>
      <c r="I1194"/>
      <c r="J1194" s="243"/>
      <c r="K1194"/>
      <c r="L1194"/>
      <c r="M1194"/>
      <c r="N1194"/>
      <c r="O1194"/>
      <c r="P1194"/>
    </row>
    <row r="1195" spans="1:16" ht="15" customHeight="1" x14ac:dyDescent="0.2">
      <c r="A1195"/>
      <c r="B1195"/>
      <c r="C1195"/>
      <c r="H1195"/>
      <c r="I1195"/>
      <c r="J1195" s="243"/>
      <c r="K1195"/>
      <c r="L1195"/>
      <c r="M1195"/>
      <c r="N1195"/>
      <c r="O1195"/>
      <c r="P1195"/>
    </row>
    <row r="1196" spans="1:16" ht="15" customHeight="1" x14ac:dyDescent="0.2">
      <c r="A1196"/>
      <c r="B1196"/>
      <c r="C1196"/>
      <c r="H1196"/>
      <c r="I1196"/>
      <c r="J1196" s="243"/>
      <c r="K1196"/>
      <c r="L1196"/>
      <c r="M1196"/>
      <c r="N1196"/>
      <c r="O1196"/>
      <c r="P1196"/>
    </row>
    <row r="1197" spans="1:16" ht="15" customHeight="1" x14ac:dyDescent="0.2">
      <c r="A1197"/>
      <c r="B1197"/>
      <c r="C1197"/>
      <c r="H1197"/>
      <c r="I1197"/>
      <c r="J1197" s="243"/>
      <c r="K1197"/>
      <c r="L1197"/>
      <c r="M1197"/>
      <c r="N1197"/>
      <c r="O1197"/>
      <c r="P1197"/>
    </row>
    <row r="1198" spans="1:16" ht="15" customHeight="1" x14ac:dyDescent="0.2">
      <c r="A1198"/>
      <c r="B1198"/>
      <c r="C1198"/>
      <c r="H1198"/>
      <c r="I1198"/>
      <c r="J1198" s="243"/>
      <c r="K1198"/>
      <c r="L1198"/>
      <c r="M1198"/>
      <c r="N1198"/>
      <c r="O1198"/>
      <c r="P1198"/>
    </row>
    <row r="1199" spans="1:16" ht="15" customHeight="1" x14ac:dyDescent="0.2">
      <c r="A1199"/>
      <c r="B1199"/>
      <c r="C1199"/>
      <c r="H1199"/>
      <c r="I1199"/>
      <c r="J1199" s="243"/>
      <c r="K1199"/>
      <c r="L1199"/>
      <c r="M1199"/>
      <c r="N1199"/>
      <c r="O1199"/>
      <c r="P1199"/>
    </row>
    <row r="1200" spans="1:16" ht="15" customHeight="1" x14ac:dyDescent="0.2">
      <c r="A1200"/>
      <c r="B1200"/>
      <c r="C1200"/>
      <c r="H1200"/>
      <c r="I1200"/>
      <c r="J1200" s="243"/>
      <c r="K1200"/>
      <c r="L1200"/>
      <c r="M1200"/>
      <c r="N1200"/>
      <c r="O1200"/>
      <c r="P1200"/>
    </row>
    <row r="1201" spans="1:16" ht="15" customHeight="1" x14ac:dyDescent="0.2">
      <c r="A1201"/>
      <c r="B1201"/>
      <c r="C1201"/>
      <c r="H1201"/>
      <c r="I1201"/>
      <c r="J1201" s="243"/>
      <c r="K1201"/>
      <c r="L1201"/>
      <c r="M1201"/>
      <c r="N1201"/>
      <c r="O1201"/>
      <c r="P1201"/>
    </row>
    <row r="1202" spans="1:16" ht="15" customHeight="1" x14ac:dyDescent="0.2">
      <c r="A1202"/>
      <c r="B1202"/>
      <c r="C1202"/>
      <c r="H1202"/>
      <c r="I1202"/>
      <c r="J1202" s="243"/>
      <c r="K1202"/>
      <c r="L1202"/>
      <c r="M1202"/>
      <c r="N1202"/>
      <c r="O1202"/>
      <c r="P1202"/>
    </row>
    <row r="1203" spans="1:16" ht="15" customHeight="1" x14ac:dyDescent="0.2">
      <c r="A1203"/>
      <c r="B1203"/>
      <c r="C1203"/>
      <c r="H1203"/>
      <c r="I1203"/>
      <c r="J1203" s="243"/>
      <c r="K1203"/>
      <c r="L1203"/>
      <c r="M1203"/>
      <c r="N1203"/>
      <c r="O1203"/>
      <c r="P1203"/>
    </row>
    <row r="1204" spans="1:16" ht="15" customHeight="1" x14ac:dyDescent="0.2">
      <c r="A1204"/>
      <c r="B1204"/>
      <c r="C1204"/>
      <c r="H1204"/>
      <c r="I1204"/>
      <c r="J1204" s="243"/>
      <c r="K1204"/>
      <c r="L1204"/>
      <c r="M1204"/>
      <c r="N1204"/>
      <c r="O1204"/>
      <c r="P1204"/>
    </row>
    <row r="1205" spans="1:16" ht="15" customHeight="1" x14ac:dyDescent="0.2">
      <c r="A1205"/>
      <c r="B1205"/>
      <c r="C1205"/>
      <c r="H1205"/>
      <c r="I1205"/>
      <c r="J1205" s="243"/>
      <c r="K1205"/>
      <c r="L1205"/>
      <c r="M1205"/>
      <c r="N1205"/>
      <c r="O1205"/>
      <c r="P1205"/>
    </row>
    <row r="1206" spans="1:16" ht="15" customHeight="1" x14ac:dyDescent="0.2">
      <c r="A1206"/>
      <c r="B1206"/>
      <c r="C1206"/>
      <c r="H1206"/>
      <c r="I1206"/>
      <c r="J1206" s="243"/>
      <c r="K1206"/>
      <c r="L1206"/>
      <c r="M1206"/>
      <c r="N1206"/>
      <c r="O1206"/>
      <c r="P1206"/>
    </row>
    <row r="1207" spans="1:16" ht="15" customHeight="1" x14ac:dyDescent="0.2">
      <c r="A1207"/>
      <c r="B1207"/>
      <c r="C1207"/>
      <c r="H1207"/>
      <c r="I1207"/>
      <c r="J1207" s="243"/>
      <c r="K1207"/>
      <c r="L1207"/>
      <c r="M1207"/>
      <c r="N1207"/>
      <c r="O1207"/>
      <c r="P1207"/>
    </row>
    <row r="1208" spans="1:16" ht="15" customHeight="1" x14ac:dyDescent="0.2">
      <c r="A1208"/>
      <c r="B1208"/>
      <c r="C1208"/>
      <c r="H1208"/>
      <c r="I1208"/>
      <c r="J1208" s="243"/>
      <c r="K1208"/>
      <c r="L1208"/>
      <c r="M1208"/>
      <c r="N1208"/>
      <c r="O1208"/>
      <c r="P1208"/>
    </row>
    <row r="1209" spans="1:16" ht="15" customHeight="1" x14ac:dyDescent="0.2">
      <c r="A1209"/>
      <c r="B1209"/>
      <c r="C1209"/>
      <c r="H1209"/>
      <c r="I1209"/>
      <c r="J1209" s="243"/>
      <c r="K1209"/>
      <c r="L1209"/>
      <c r="M1209"/>
      <c r="N1209"/>
      <c r="O1209"/>
      <c r="P1209"/>
    </row>
    <row r="1210" spans="1:16" ht="15" customHeight="1" x14ac:dyDescent="0.2">
      <c r="A1210"/>
      <c r="B1210"/>
      <c r="C1210"/>
      <c r="H1210"/>
      <c r="I1210"/>
      <c r="J1210" s="243"/>
      <c r="K1210"/>
      <c r="L1210"/>
      <c r="M1210"/>
      <c r="N1210"/>
      <c r="O1210"/>
      <c r="P1210"/>
    </row>
    <row r="1211" spans="1:16" ht="15" customHeight="1" x14ac:dyDescent="0.2">
      <c r="A1211"/>
      <c r="B1211"/>
      <c r="C1211"/>
      <c r="H1211"/>
      <c r="I1211"/>
      <c r="J1211" s="243"/>
      <c r="K1211"/>
      <c r="L1211"/>
      <c r="M1211"/>
      <c r="N1211"/>
      <c r="O1211"/>
      <c r="P1211"/>
    </row>
    <row r="1212" spans="1:16" ht="15" customHeight="1" x14ac:dyDescent="0.2">
      <c r="A1212"/>
      <c r="B1212"/>
      <c r="C1212"/>
      <c r="H1212"/>
      <c r="I1212"/>
      <c r="J1212" s="243"/>
      <c r="K1212"/>
      <c r="L1212"/>
      <c r="M1212"/>
      <c r="N1212"/>
      <c r="O1212"/>
      <c r="P1212"/>
    </row>
    <row r="1213" spans="1:16" ht="15" customHeight="1" x14ac:dyDescent="0.2">
      <c r="A1213"/>
      <c r="B1213"/>
      <c r="C1213"/>
      <c r="H1213"/>
      <c r="I1213"/>
      <c r="J1213" s="243"/>
      <c r="K1213"/>
      <c r="L1213"/>
      <c r="M1213"/>
      <c r="N1213"/>
      <c r="O1213"/>
      <c r="P1213"/>
    </row>
    <row r="1214" spans="1:16" ht="15" customHeight="1" x14ac:dyDescent="0.2">
      <c r="A1214"/>
      <c r="B1214"/>
      <c r="C1214"/>
      <c r="H1214"/>
      <c r="I1214"/>
      <c r="J1214" s="243"/>
      <c r="K1214"/>
      <c r="L1214"/>
      <c r="M1214"/>
      <c r="N1214"/>
      <c r="O1214"/>
      <c r="P1214"/>
    </row>
    <row r="1215" spans="1:16" ht="15" customHeight="1" x14ac:dyDescent="0.2">
      <c r="A1215"/>
      <c r="B1215"/>
      <c r="C1215"/>
      <c r="H1215"/>
      <c r="I1215"/>
      <c r="J1215" s="243"/>
      <c r="K1215"/>
      <c r="L1215"/>
      <c r="M1215"/>
      <c r="N1215"/>
      <c r="O1215"/>
      <c r="P1215"/>
    </row>
    <row r="1216" spans="1:16" ht="15" customHeight="1" x14ac:dyDescent="0.2">
      <c r="A1216"/>
      <c r="B1216"/>
      <c r="C1216"/>
      <c r="H1216"/>
      <c r="I1216"/>
      <c r="J1216" s="243"/>
      <c r="K1216"/>
      <c r="L1216"/>
      <c r="M1216"/>
      <c r="N1216"/>
      <c r="O1216"/>
      <c r="P1216"/>
    </row>
    <row r="1217" spans="1:16" ht="15" customHeight="1" x14ac:dyDescent="0.2">
      <c r="A1217"/>
      <c r="B1217"/>
      <c r="C1217"/>
      <c r="H1217"/>
      <c r="I1217"/>
      <c r="J1217" s="243"/>
      <c r="K1217"/>
      <c r="L1217"/>
      <c r="M1217"/>
      <c r="N1217"/>
      <c r="O1217"/>
      <c r="P1217"/>
    </row>
    <row r="1218" spans="1:16" ht="15" customHeight="1" x14ac:dyDescent="0.2">
      <c r="A1218"/>
      <c r="B1218"/>
      <c r="C1218"/>
      <c r="H1218"/>
      <c r="I1218"/>
      <c r="J1218" s="243"/>
      <c r="K1218"/>
      <c r="L1218"/>
      <c r="M1218"/>
      <c r="N1218"/>
      <c r="O1218"/>
      <c r="P1218"/>
    </row>
    <row r="1219" spans="1:16" ht="15" customHeight="1" x14ac:dyDescent="0.2">
      <c r="A1219"/>
      <c r="B1219"/>
      <c r="C1219"/>
      <c r="H1219"/>
      <c r="I1219"/>
      <c r="J1219" s="243"/>
      <c r="K1219"/>
      <c r="L1219"/>
      <c r="M1219"/>
      <c r="N1219"/>
      <c r="O1219"/>
      <c r="P1219"/>
    </row>
    <row r="1220" spans="1:16" ht="15" customHeight="1" x14ac:dyDescent="0.2">
      <c r="A1220"/>
      <c r="B1220"/>
      <c r="C1220"/>
      <c r="H1220"/>
      <c r="I1220"/>
      <c r="J1220" s="243"/>
      <c r="K1220"/>
      <c r="L1220"/>
      <c r="M1220"/>
      <c r="N1220"/>
      <c r="O1220"/>
      <c r="P1220"/>
    </row>
    <row r="1221" spans="1:16" ht="15" customHeight="1" x14ac:dyDescent="0.2">
      <c r="A1221"/>
      <c r="B1221"/>
      <c r="C1221"/>
      <c r="H1221"/>
      <c r="I1221"/>
      <c r="J1221" s="243"/>
      <c r="K1221"/>
      <c r="L1221"/>
      <c r="M1221"/>
      <c r="N1221"/>
      <c r="O1221"/>
      <c r="P1221"/>
    </row>
    <row r="1222" spans="1:16" ht="15" customHeight="1" x14ac:dyDescent="0.2">
      <c r="A1222"/>
      <c r="B1222"/>
      <c r="C1222"/>
      <c r="H1222"/>
      <c r="I1222"/>
      <c r="J1222" s="243"/>
      <c r="K1222"/>
      <c r="L1222"/>
      <c r="M1222"/>
      <c r="N1222"/>
      <c r="O1222"/>
      <c r="P1222"/>
    </row>
    <row r="1223" spans="1:16" ht="15" customHeight="1" x14ac:dyDescent="0.2">
      <c r="A1223"/>
      <c r="B1223"/>
      <c r="C1223"/>
      <c r="H1223"/>
      <c r="I1223"/>
      <c r="J1223" s="243"/>
      <c r="K1223"/>
      <c r="L1223"/>
      <c r="M1223"/>
      <c r="N1223"/>
      <c r="O1223"/>
      <c r="P1223"/>
    </row>
    <row r="1224" spans="1:16" ht="15" customHeight="1" x14ac:dyDescent="0.2">
      <c r="A1224"/>
      <c r="B1224"/>
      <c r="C1224"/>
      <c r="H1224"/>
      <c r="I1224"/>
      <c r="J1224" s="243"/>
      <c r="K1224"/>
      <c r="L1224"/>
      <c r="M1224"/>
      <c r="N1224"/>
      <c r="O1224"/>
      <c r="P1224"/>
    </row>
    <row r="1225" spans="1:16" ht="30" customHeight="1" x14ac:dyDescent="0.2">
      <c r="A1225"/>
      <c r="B1225"/>
      <c r="C1225"/>
      <c r="H1225"/>
      <c r="I1225"/>
      <c r="J1225" s="243"/>
      <c r="K1225"/>
      <c r="L1225"/>
      <c r="M1225"/>
      <c r="N1225"/>
      <c r="O1225"/>
      <c r="P1225"/>
    </row>
    <row r="1226" spans="1:16" ht="13.5" customHeight="1" x14ac:dyDescent="0.2">
      <c r="A1226"/>
      <c r="B1226"/>
      <c r="C1226"/>
      <c r="H1226"/>
      <c r="I1226"/>
      <c r="J1226" s="243"/>
      <c r="K1226"/>
      <c r="L1226"/>
      <c r="M1226"/>
      <c r="N1226"/>
      <c r="O1226"/>
      <c r="P1226"/>
    </row>
    <row r="1227" spans="1:16" ht="31.5" customHeight="1" x14ac:dyDescent="0.2">
      <c r="A1227"/>
      <c r="B1227"/>
      <c r="C1227"/>
      <c r="H1227"/>
      <c r="I1227"/>
      <c r="J1227" s="243"/>
      <c r="K1227"/>
      <c r="L1227"/>
      <c r="M1227"/>
      <c r="N1227"/>
      <c r="O1227"/>
      <c r="P1227"/>
    </row>
    <row r="1228" spans="1:16" ht="45.75" customHeight="1" x14ac:dyDescent="0.2">
      <c r="A1228"/>
      <c r="B1228"/>
      <c r="C1228"/>
      <c r="H1228"/>
      <c r="I1228"/>
      <c r="J1228" s="243"/>
      <c r="K1228"/>
      <c r="L1228"/>
      <c r="M1228"/>
      <c r="N1228"/>
      <c r="O1228"/>
      <c r="P1228"/>
    </row>
    <row r="1229" spans="1:16" x14ac:dyDescent="0.2">
      <c r="A1229"/>
      <c r="B1229"/>
      <c r="C1229"/>
      <c r="H1229"/>
      <c r="I1229"/>
      <c r="J1229" s="243"/>
      <c r="K1229"/>
      <c r="L1229"/>
      <c r="M1229"/>
      <c r="N1229"/>
      <c r="O1229"/>
      <c r="P1229"/>
    </row>
    <row r="1230" spans="1:16" x14ac:dyDescent="0.2">
      <c r="A1230"/>
      <c r="B1230"/>
      <c r="C1230"/>
      <c r="H1230"/>
      <c r="I1230"/>
      <c r="J1230" s="243"/>
      <c r="K1230"/>
      <c r="L1230"/>
      <c r="M1230"/>
      <c r="N1230"/>
      <c r="O1230"/>
      <c r="P1230"/>
    </row>
    <row r="1231" spans="1:16" ht="12" customHeight="1" x14ac:dyDescent="0.2">
      <c r="A1231"/>
      <c r="B1231"/>
      <c r="C1231"/>
      <c r="H1231"/>
      <c r="I1231"/>
      <c r="J1231" s="243"/>
      <c r="K1231"/>
      <c r="L1231"/>
      <c r="M1231"/>
      <c r="N1231"/>
      <c r="O1231"/>
      <c r="P1231"/>
    </row>
    <row r="1232" spans="1:16" ht="12" customHeight="1" x14ac:dyDescent="0.2">
      <c r="A1232"/>
      <c r="B1232"/>
      <c r="C1232"/>
      <c r="H1232"/>
      <c r="I1232"/>
      <c r="J1232" s="243"/>
      <c r="K1232"/>
      <c r="L1232"/>
      <c r="M1232"/>
      <c r="N1232"/>
      <c r="O1232"/>
      <c r="P1232"/>
    </row>
    <row r="1233" spans="1:16" ht="12" customHeight="1" x14ac:dyDescent="0.2">
      <c r="A1233"/>
      <c r="B1233"/>
      <c r="C1233"/>
      <c r="H1233"/>
      <c r="I1233"/>
      <c r="J1233" s="243"/>
      <c r="K1233"/>
      <c r="L1233"/>
      <c r="M1233"/>
      <c r="N1233"/>
      <c r="O1233"/>
      <c r="P1233"/>
    </row>
    <row r="1234" spans="1:16" ht="12" customHeight="1" x14ac:dyDescent="0.2">
      <c r="A1234"/>
      <c r="B1234"/>
      <c r="C1234"/>
      <c r="H1234"/>
      <c r="I1234"/>
      <c r="J1234" s="243"/>
      <c r="K1234"/>
      <c r="L1234"/>
      <c r="M1234"/>
      <c r="N1234"/>
      <c r="O1234"/>
      <c r="P1234"/>
    </row>
    <row r="1235" spans="1:16" ht="12" customHeight="1" x14ac:dyDescent="0.2">
      <c r="A1235"/>
      <c r="B1235"/>
      <c r="C1235"/>
      <c r="H1235"/>
      <c r="I1235"/>
      <c r="J1235" s="243"/>
      <c r="K1235"/>
      <c r="L1235"/>
      <c r="M1235"/>
      <c r="N1235"/>
      <c r="O1235"/>
      <c r="P1235"/>
    </row>
    <row r="1236" spans="1:16" ht="12" customHeight="1" x14ac:dyDescent="0.2">
      <c r="A1236"/>
      <c r="B1236"/>
      <c r="C1236"/>
      <c r="H1236"/>
      <c r="I1236"/>
      <c r="J1236" s="243"/>
      <c r="K1236"/>
      <c r="L1236"/>
      <c r="M1236"/>
      <c r="N1236"/>
      <c r="O1236"/>
      <c r="P1236"/>
    </row>
    <row r="1237" spans="1:16" ht="12" customHeight="1" x14ac:dyDescent="0.2">
      <c r="A1237"/>
      <c r="B1237"/>
      <c r="C1237"/>
      <c r="H1237"/>
      <c r="I1237"/>
      <c r="J1237" s="243"/>
      <c r="K1237"/>
      <c r="L1237"/>
      <c r="M1237"/>
      <c r="N1237"/>
      <c r="O1237"/>
      <c r="P1237"/>
    </row>
    <row r="1238" spans="1:16" ht="12" customHeight="1" x14ac:dyDescent="0.2">
      <c r="A1238"/>
      <c r="B1238"/>
      <c r="C1238"/>
      <c r="H1238"/>
      <c r="I1238"/>
      <c r="J1238" s="243"/>
      <c r="K1238"/>
      <c r="L1238"/>
      <c r="M1238"/>
      <c r="N1238"/>
      <c r="O1238"/>
      <c r="P1238"/>
    </row>
    <row r="1239" spans="1:16" x14ac:dyDescent="0.2">
      <c r="A1239"/>
      <c r="B1239"/>
      <c r="C1239"/>
      <c r="H1239"/>
      <c r="I1239"/>
      <c r="J1239" s="243"/>
      <c r="K1239"/>
      <c r="L1239"/>
      <c r="M1239"/>
      <c r="N1239"/>
      <c r="O1239"/>
      <c r="P1239"/>
    </row>
    <row r="1240" spans="1:16" x14ac:dyDescent="0.2">
      <c r="A1240"/>
      <c r="B1240"/>
      <c r="C1240"/>
      <c r="H1240"/>
      <c r="I1240"/>
      <c r="J1240" s="243"/>
      <c r="K1240"/>
      <c r="L1240"/>
      <c r="M1240"/>
      <c r="N1240"/>
      <c r="O1240"/>
      <c r="P1240"/>
    </row>
    <row r="1241" spans="1:16" x14ac:dyDescent="0.2">
      <c r="A1241"/>
      <c r="B1241"/>
      <c r="C1241"/>
      <c r="H1241"/>
      <c r="I1241"/>
      <c r="J1241" s="243"/>
      <c r="K1241"/>
      <c r="L1241"/>
      <c r="M1241"/>
      <c r="N1241"/>
      <c r="O1241"/>
      <c r="P1241"/>
    </row>
    <row r="1242" spans="1:16" x14ac:dyDescent="0.2">
      <c r="A1242"/>
      <c r="B1242"/>
      <c r="C1242"/>
      <c r="H1242"/>
      <c r="I1242"/>
      <c r="J1242" s="243"/>
      <c r="K1242"/>
      <c r="L1242"/>
      <c r="M1242"/>
      <c r="N1242"/>
      <c r="O1242"/>
      <c r="P1242"/>
    </row>
    <row r="1243" spans="1:16" x14ac:dyDescent="0.2">
      <c r="A1243"/>
      <c r="B1243"/>
      <c r="C1243"/>
      <c r="H1243"/>
      <c r="I1243"/>
      <c r="J1243" s="243"/>
      <c r="K1243"/>
      <c r="L1243"/>
      <c r="M1243"/>
      <c r="N1243"/>
      <c r="O1243"/>
      <c r="P1243"/>
    </row>
    <row r="1244" spans="1:16" x14ac:dyDescent="0.2">
      <c r="A1244"/>
      <c r="B1244"/>
      <c r="C1244"/>
      <c r="H1244"/>
      <c r="I1244"/>
      <c r="J1244" s="243"/>
      <c r="K1244"/>
      <c r="L1244"/>
      <c r="M1244"/>
      <c r="N1244"/>
      <c r="O1244"/>
      <c r="P1244"/>
    </row>
    <row r="1245" spans="1:16" x14ac:dyDescent="0.2">
      <c r="A1245"/>
      <c r="B1245"/>
      <c r="C1245"/>
      <c r="H1245"/>
      <c r="I1245"/>
      <c r="J1245" s="243"/>
      <c r="K1245"/>
      <c r="L1245"/>
      <c r="M1245"/>
      <c r="N1245"/>
      <c r="O1245"/>
      <c r="P1245"/>
    </row>
    <row r="1246" spans="1:16" x14ac:dyDescent="0.2">
      <c r="A1246"/>
      <c r="B1246"/>
      <c r="C1246"/>
      <c r="H1246"/>
      <c r="I1246"/>
      <c r="J1246" s="243"/>
      <c r="K1246"/>
      <c r="L1246"/>
      <c r="M1246"/>
      <c r="N1246"/>
      <c r="O1246"/>
      <c r="P1246"/>
    </row>
    <row r="1247" spans="1:16" x14ac:dyDescent="0.2">
      <c r="A1247"/>
      <c r="B1247"/>
      <c r="C1247"/>
      <c r="H1247"/>
      <c r="I1247"/>
      <c r="J1247" s="243"/>
      <c r="K1247"/>
      <c r="L1247"/>
      <c r="M1247"/>
      <c r="N1247"/>
      <c r="O1247"/>
      <c r="P1247"/>
    </row>
    <row r="1248" spans="1:16" x14ac:dyDescent="0.2">
      <c r="A1248"/>
      <c r="B1248"/>
      <c r="C1248"/>
      <c r="H1248"/>
      <c r="I1248"/>
      <c r="J1248" s="243"/>
      <c r="K1248"/>
      <c r="L1248"/>
      <c r="M1248"/>
      <c r="N1248"/>
      <c r="O1248"/>
      <c r="P1248"/>
    </row>
    <row r="1249" spans="1:16" x14ac:dyDescent="0.2">
      <c r="A1249"/>
      <c r="B1249"/>
      <c r="C1249"/>
      <c r="H1249"/>
      <c r="I1249"/>
      <c r="J1249" s="243"/>
      <c r="K1249"/>
      <c r="L1249"/>
      <c r="M1249"/>
      <c r="N1249"/>
      <c r="O1249"/>
      <c r="P1249"/>
    </row>
    <row r="1250" spans="1:16" x14ac:dyDescent="0.2">
      <c r="A1250"/>
      <c r="B1250"/>
      <c r="C1250"/>
      <c r="H1250"/>
      <c r="I1250"/>
      <c r="J1250" s="243"/>
      <c r="K1250"/>
      <c r="L1250"/>
      <c r="M1250"/>
      <c r="N1250"/>
      <c r="O1250"/>
      <c r="P1250"/>
    </row>
    <row r="1251" spans="1:16" x14ac:dyDescent="0.2">
      <c r="A1251"/>
      <c r="B1251"/>
      <c r="C1251"/>
      <c r="H1251"/>
      <c r="I1251"/>
      <c r="J1251" s="243"/>
      <c r="K1251"/>
      <c r="L1251"/>
      <c r="M1251"/>
      <c r="N1251"/>
      <c r="O1251"/>
      <c r="P1251"/>
    </row>
    <row r="1252" spans="1:16" x14ac:dyDescent="0.2">
      <c r="A1252"/>
      <c r="B1252"/>
      <c r="C1252"/>
      <c r="H1252"/>
      <c r="I1252"/>
      <c r="J1252" s="243"/>
      <c r="K1252"/>
      <c r="L1252"/>
      <c r="M1252"/>
      <c r="N1252"/>
      <c r="O1252"/>
      <c r="P1252"/>
    </row>
    <row r="1253" spans="1:16" x14ac:dyDescent="0.2">
      <c r="A1253"/>
      <c r="B1253"/>
      <c r="C1253"/>
      <c r="H1253"/>
      <c r="I1253"/>
      <c r="J1253" s="243"/>
      <c r="K1253"/>
      <c r="L1253"/>
      <c r="M1253"/>
      <c r="N1253"/>
      <c r="O1253"/>
      <c r="P1253"/>
    </row>
    <row r="1254" spans="1:16" x14ac:dyDescent="0.2">
      <c r="A1254"/>
      <c r="B1254"/>
      <c r="C1254"/>
      <c r="H1254"/>
      <c r="I1254"/>
      <c r="J1254" s="243"/>
      <c r="K1254"/>
      <c r="L1254"/>
      <c r="M1254"/>
      <c r="N1254"/>
      <c r="O1254"/>
      <c r="P1254"/>
    </row>
    <row r="1255" spans="1:16" x14ac:dyDescent="0.2">
      <c r="A1255"/>
      <c r="B1255"/>
      <c r="C1255"/>
      <c r="H1255"/>
      <c r="I1255"/>
      <c r="J1255" s="243"/>
      <c r="K1255"/>
      <c r="L1255"/>
      <c r="M1255"/>
      <c r="N1255"/>
      <c r="O1255"/>
      <c r="P1255"/>
    </row>
    <row r="1256" spans="1:16" ht="12" customHeight="1" x14ac:dyDescent="0.2">
      <c r="A1256"/>
      <c r="B1256"/>
      <c r="C1256"/>
      <c r="H1256"/>
      <c r="I1256"/>
      <c r="J1256" s="243"/>
      <c r="K1256"/>
      <c r="L1256"/>
      <c r="M1256"/>
      <c r="N1256"/>
      <c r="O1256"/>
      <c r="P1256"/>
    </row>
    <row r="1257" spans="1:16" ht="12" customHeight="1" x14ac:dyDescent="0.2">
      <c r="A1257"/>
      <c r="B1257"/>
      <c r="C1257"/>
      <c r="H1257"/>
      <c r="I1257"/>
      <c r="J1257" s="243"/>
      <c r="K1257"/>
      <c r="L1257"/>
      <c r="M1257"/>
      <c r="N1257"/>
      <c r="O1257"/>
      <c r="P1257"/>
    </row>
    <row r="1258" spans="1:16" ht="12" customHeight="1" x14ac:dyDescent="0.2">
      <c r="A1258"/>
      <c r="B1258"/>
      <c r="C1258"/>
      <c r="H1258"/>
      <c r="I1258"/>
      <c r="J1258" s="243"/>
      <c r="K1258"/>
      <c r="L1258"/>
      <c r="M1258"/>
      <c r="N1258"/>
      <c r="O1258"/>
      <c r="P1258"/>
    </row>
    <row r="1259" spans="1:16" ht="12" customHeight="1" x14ac:dyDescent="0.2">
      <c r="A1259"/>
      <c r="B1259"/>
      <c r="C1259"/>
      <c r="H1259"/>
      <c r="I1259"/>
      <c r="J1259" s="243"/>
      <c r="K1259"/>
      <c r="L1259"/>
      <c r="M1259"/>
      <c r="N1259"/>
      <c r="O1259"/>
      <c r="P1259"/>
    </row>
    <row r="1260" spans="1:16" ht="12" customHeight="1" x14ac:dyDescent="0.2">
      <c r="A1260"/>
      <c r="B1260"/>
      <c r="C1260"/>
      <c r="H1260"/>
      <c r="I1260"/>
      <c r="J1260" s="243"/>
      <c r="K1260"/>
      <c r="L1260"/>
      <c r="M1260"/>
      <c r="N1260"/>
      <c r="O1260"/>
      <c r="P1260"/>
    </row>
    <row r="1261" spans="1:16" ht="12" customHeight="1" x14ac:dyDescent="0.2">
      <c r="A1261"/>
      <c r="B1261"/>
      <c r="C1261"/>
      <c r="H1261"/>
      <c r="I1261"/>
      <c r="J1261" s="243"/>
      <c r="K1261"/>
      <c r="L1261"/>
      <c r="M1261"/>
      <c r="N1261"/>
      <c r="O1261"/>
      <c r="P1261"/>
    </row>
    <row r="1262" spans="1:16" ht="12" customHeight="1" x14ac:dyDescent="0.2">
      <c r="A1262"/>
      <c r="B1262"/>
      <c r="C1262"/>
      <c r="H1262"/>
      <c r="I1262"/>
      <c r="J1262" s="243"/>
      <c r="K1262"/>
      <c r="L1262"/>
      <c r="M1262"/>
      <c r="N1262"/>
      <c r="O1262"/>
      <c r="P1262"/>
    </row>
    <row r="1263" spans="1:16" x14ac:dyDescent="0.2">
      <c r="A1263"/>
      <c r="B1263"/>
      <c r="C1263"/>
      <c r="H1263"/>
      <c r="I1263"/>
      <c r="J1263" s="243"/>
      <c r="K1263"/>
      <c r="L1263"/>
      <c r="M1263"/>
      <c r="N1263"/>
      <c r="O1263"/>
      <c r="P1263"/>
    </row>
    <row r="1264" spans="1:16" x14ac:dyDescent="0.2">
      <c r="A1264"/>
      <c r="B1264"/>
      <c r="C1264"/>
      <c r="H1264"/>
      <c r="I1264"/>
      <c r="J1264" s="243"/>
      <c r="K1264"/>
      <c r="L1264"/>
      <c r="M1264"/>
      <c r="N1264"/>
      <c r="O1264"/>
      <c r="P1264"/>
    </row>
    <row r="1265" spans="1:16" ht="12" customHeight="1" x14ac:dyDescent="0.2">
      <c r="A1265"/>
      <c r="B1265"/>
      <c r="C1265"/>
      <c r="H1265"/>
      <c r="I1265"/>
      <c r="J1265" s="243"/>
      <c r="K1265"/>
      <c r="L1265"/>
      <c r="M1265"/>
      <c r="N1265"/>
      <c r="O1265"/>
      <c r="P1265"/>
    </row>
    <row r="1266" spans="1:16" ht="12" customHeight="1" x14ac:dyDescent="0.2">
      <c r="A1266"/>
      <c r="B1266"/>
      <c r="C1266"/>
      <c r="H1266"/>
      <c r="I1266"/>
      <c r="J1266" s="243"/>
      <c r="K1266"/>
      <c r="L1266"/>
      <c r="M1266"/>
      <c r="N1266"/>
      <c r="O1266"/>
      <c r="P1266"/>
    </row>
    <row r="1267" spans="1:16" ht="12" customHeight="1" x14ac:dyDescent="0.2">
      <c r="A1267"/>
      <c r="B1267"/>
      <c r="C1267"/>
      <c r="H1267"/>
      <c r="I1267"/>
      <c r="J1267" s="243"/>
      <c r="K1267"/>
      <c r="L1267"/>
      <c r="M1267"/>
      <c r="N1267"/>
      <c r="O1267"/>
      <c r="P1267"/>
    </row>
    <row r="1268" spans="1:16" ht="12" customHeight="1" x14ac:dyDescent="0.2">
      <c r="A1268"/>
      <c r="B1268"/>
      <c r="C1268"/>
      <c r="H1268"/>
      <c r="I1268"/>
      <c r="J1268" s="243"/>
      <c r="K1268"/>
      <c r="L1268"/>
      <c r="M1268"/>
      <c r="N1268"/>
      <c r="O1268"/>
      <c r="P1268"/>
    </row>
    <row r="1269" spans="1:16" ht="12" customHeight="1" x14ac:dyDescent="0.2">
      <c r="A1269"/>
      <c r="B1269"/>
      <c r="C1269"/>
      <c r="H1269"/>
      <c r="I1269"/>
      <c r="J1269" s="243"/>
      <c r="K1269"/>
      <c r="L1269"/>
      <c r="M1269"/>
      <c r="N1269"/>
      <c r="O1269"/>
      <c r="P1269"/>
    </row>
    <row r="1270" spans="1:16" ht="12" customHeight="1" x14ac:dyDescent="0.2">
      <c r="A1270"/>
      <c r="B1270"/>
      <c r="C1270"/>
      <c r="H1270"/>
      <c r="I1270"/>
      <c r="J1270" s="243"/>
      <c r="K1270"/>
      <c r="L1270"/>
      <c r="M1270"/>
      <c r="N1270"/>
      <c r="O1270"/>
      <c r="P1270"/>
    </row>
    <row r="1271" spans="1:16" ht="12" customHeight="1" x14ac:dyDescent="0.2">
      <c r="A1271"/>
      <c r="B1271"/>
      <c r="C1271"/>
      <c r="H1271"/>
      <c r="I1271"/>
      <c r="J1271" s="243"/>
      <c r="K1271"/>
      <c r="L1271"/>
      <c r="M1271"/>
      <c r="N1271"/>
      <c r="O1271"/>
      <c r="P1271"/>
    </row>
    <row r="1272" spans="1:16" ht="12" customHeight="1" x14ac:dyDescent="0.2">
      <c r="A1272"/>
      <c r="B1272"/>
      <c r="C1272"/>
      <c r="H1272"/>
      <c r="I1272"/>
      <c r="J1272" s="243"/>
      <c r="K1272"/>
      <c r="L1272"/>
      <c r="M1272"/>
      <c r="N1272"/>
      <c r="O1272"/>
      <c r="P1272"/>
    </row>
    <row r="1273" spans="1:16" ht="12" customHeight="1" x14ac:dyDescent="0.2">
      <c r="A1273"/>
      <c r="B1273"/>
      <c r="C1273"/>
      <c r="H1273"/>
      <c r="I1273"/>
      <c r="J1273" s="243"/>
      <c r="K1273"/>
      <c r="L1273"/>
      <c r="M1273"/>
      <c r="N1273"/>
      <c r="O1273"/>
      <c r="P1273"/>
    </row>
    <row r="1274" spans="1:16" ht="12" customHeight="1" x14ac:dyDescent="0.2">
      <c r="A1274"/>
      <c r="B1274"/>
      <c r="C1274"/>
      <c r="H1274"/>
      <c r="I1274"/>
      <c r="J1274" s="243"/>
      <c r="K1274"/>
      <c r="L1274"/>
      <c r="M1274"/>
      <c r="N1274"/>
      <c r="O1274"/>
      <c r="P1274"/>
    </row>
    <row r="1275" spans="1:16" ht="12" customHeight="1" x14ac:dyDescent="0.2">
      <c r="A1275"/>
      <c r="B1275"/>
      <c r="C1275"/>
      <c r="H1275"/>
      <c r="I1275"/>
      <c r="J1275" s="243"/>
      <c r="K1275"/>
      <c r="L1275"/>
      <c r="M1275"/>
      <c r="N1275"/>
      <c r="O1275"/>
      <c r="P1275"/>
    </row>
    <row r="1276" spans="1:16" ht="12" customHeight="1" x14ac:dyDescent="0.2">
      <c r="A1276"/>
      <c r="B1276"/>
      <c r="C1276"/>
      <c r="H1276"/>
      <c r="I1276"/>
      <c r="J1276" s="243"/>
      <c r="K1276"/>
      <c r="L1276"/>
      <c r="M1276"/>
      <c r="N1276"/>
      <c r="O1276"/>
      <c r="P1276"/>
    </row>
    <row r="1277" spans="1:16" ht="12" customHeight="1" x14ac:dyDescent="0.2">
      <c r="A1277"/>
      <c r="B1277"/>
      <c r="C1277"/>
      <c r="H1277"/>
      <c r="I1277"/>
      <c r="J1277" s="243"/>
      <c r="K1277"/>
      <c r="L1277"/>
      <c r="M1277"/>
      <c r="N1277"/>
      <c r="O1277"/>
      <c r="P1277"/>
    </row>
    <row r="1278" spans="1:16" ht="12" customHeight="1" x14ac:dyDescent="0.2">
      <c r="A1278"/>
      <c r="B1278"/>
      <c r="C1278"/>
      <c r="H1278"/>
      <c r="I1278"/>
      <c r="J1278" s="243"/>
      <c r="K1278"/>
      <c r="L1278"/>
      <c r="M1278"/>
      <c r="N1278"/>
      <c r="O1278"/>
      <c r="P1278"/>
    </row>
    <row r="1279" spans="1:16" ht="12" customHeight="1" x14ac:dyDescent="0.2">
      <c r="A1279"/>
      <c r="B1279"/>
      <c r="C1279"/>
      <c r="H1279"/>
      <c r="I1279"/>
      <c r="J1279" s="243"/>
      <c r="K1279"/>
      <c r="L1279"/>
      <c r="M1279"/>
      <c r="N1279"/>
      <c r="O1279"/>
      <c r="P1279"/>
    </row>
    <row r="1280" spans="1:16" ht="12" customHeight="1" x14ac:dyDescent="0.2">
      <c r="A1280"/>
      <c r="B1280"/>
      <c r="C1280"/>
      <c r="H1280"/>
      <c r="I1280"/>
      <c r="J1280" s="243"/>
      <c r="K1280"/>
      <c r="L1280"/>
      <c r="M1280"/>
      <c r="N1280"/>
      <c r="O1280"/>
      <c r="P1280"/>
    </row>
    <row r="1281" spans="1:16" ht="12" customHeight="1" x14ac:dyDescent="0.2">
      <c r="A1281"/>
      <c r="B1281"/>
      <c r="C1281"/>
      <c r="H1281"/>
      <c r="I1281"/>
      <c r="J1281" s="243"/>
      <c r="K1281"/>
      <c r="L1281"/>
      <c r="M1281"/>
      <c r="N1281"/>
      <c r="O1281"/>
      <c r="P1281"/>
    </row>
    <row r="1282" spans="1:16" ht="12" customHeight="1" x14ac:dyDescent="0.2">
      <c r="A1282"/>
      <c r="B1282"/>
      <c r="C1282"/>
      <c r="H1282"/>
      <c r="I1282"/>
      <c r="J1282" s="243"/>
      <c r="K1282"/>
      <c r="L1282"/>
      <c r="M1282"/>
      <c r="N1282"/>
      <c r="O1282"/>
      <c r="P1282"/>
    </row>
    <row r="1283" spans="1:16" ht="12" customHeight="1" x14ac:dyDescent="0.2">
      <c r="A1283"/>
      <c r="B1283"/>
      <c r="C1283"/>
      <c r="H1283"/>
      <c r="I1283"/>
      <c r="J1283" s="243"/>
      <c r="K1283"/>
      <c r="L1283"/>
      <c r="M1283"/>
      <c r="N1283"/>
      <c r="O1283"/>
      <c r="P1283"/>
    </row>
    <row r="1284" spans="1:16" ht="12" customHeight="1" x14ac:dyDescent="0.2">
      <c r="A1284"/>
      <c r="B1284"/>
      <c r="C1284"/>
      <c r="H1284"/>
      <c r="I1284"/>
      <c r="J1284" s="243"/>
      <c r="K1284"/>
      <c r="L1284"/>
      <c r="M1284"/>
      <c r="N1284"/>
      <c r="O1284"/>
      <c r="P1284"/>
    </row>
    <row r="1285" spans="1:16" ht="12" customHeight="1" x14ac:dyDescent="0.2">
      <c r="A1285"/>
      <c r="B1285"/>
      <c r="C1285"/>
      <c r="H1285"/>
      <c r="I1285"/>
      <c r="J1285" s="243"/>
      <c r="K1285"/>
      <c r="L1285"/>
      <c r="M1285"/>
      <c r="N1285"/>
      <c r="O1285"/>
      <c r="P1285"/>
    </row>
    <row r="1286" spans="1:16" ht="12" customHeight="1" x14ac:dyDescent="0.2">
      <c r="A1286"/>
      <c r="B1286"/>
      <c r="C1286"/>
      <c r="H1286"/>
      <c r="I1286"/>
      <c r="J1286" s="243"/>
      <c r="K1286"/>
      <c r="L1286"/>
      <c r="M1286"/>
      <c r="N1286"/>
      <c r="O1286"/>
      <c r="P1286"/>
    </row>
    <row r="1287" spans="1:16" ht="12" customHeight="1" x14ac:dyDescent="0.2">
      <c r="A1287"/>
      <c r="B1287"/>
      <c r="C1287"/>
      <c r="H1287"/>
      <c r="I1287"/>
      <c r="J1287" s="243"/>
      <c r="K1287"/>
      <c r="L1287"/>
      <c r="M1287"/>
      <c r="N1287"/>
      <c r="O1287"/>
      <c r="P1287"/>
    </row>
    <row r="1288" spans="1:16" ht="12" customHeight="1" x14ac:dyDescent="0.2">
      <c r="A1288"/>
      <c r="B1288"/>
      <c r="C1288"/>
      <c r="H1288"/>
      <c r="I1288"/>
      <c r="J1288" s="243"/>
      <c r="K1288"/>
      <c r="L1288"/>
      <c r="M1288"/>
      <c r="N1288"/>
      <c r="O1288"/>
      <c r="P1288"/>
    </row>
    <row r="1289" spans="1:16" ht="12" customHeight="1" x14ac:dyDescent="0.2">
      <c r="A1289"/>
      <c r="B1289"/>
      <c r="C1289"/>
      <c r="H1289"/>
      <c r="I1289"/>
      <c r="J1289" s="243"/>
      <c r="K1289"/>
      <c r="L1289"/>
      <c r="M1289"/>
      <c r="N1289"/>
      <c r="O1289"/>
      <c r="P1289"/>
    </row>
    <row r="1290" spans="1:16" ht="12" customHeight="1" x14ac:dyDescent="0.2">
      <c r="A1290"/>
      <c r="B1290"/>
      <c r="C1290"/>
      <c r="H1290"/>
      <c r="I1290"/>
      <c r="J1290" s="243"/>
      <c r="K1290"/>
      <c r="L1290"/>
      <c r="M1290"/>
      <c r="N1290"/>
      <c r="O1290"/>
      <c r="P1290"/>
    </row>
    <row r="1291" spans="1:16" ht="12" customHeight="1" x14ac:dyDescent="0.2">
      <c r="A1291"/>
      <c r="B1291"/>
      <c r="C1291"/>
      <c r="H1291"/>
      <c r="I1291"/>
      <c r="J1291" s="243"/>
      <c r="K1291"/>
      <c r="L1291"/>
      <c r="M1291"/>
      <c r="N1291"/>
      <c r="O1291"/>
      <c r="P1291"/>
    </row>
    <row r="1292" spans="1:16" ht="12" customHeight="1" x14ac:dyDescent="0.2">
      <c r="A1292"/>
      <c r="B1292"/>
      <c r="C1292"/>
      <c r="H1292"/>
      <c r="I1292"/>
      <c r="J1292" s="243"/>
      <c r="K1292"/>
      <c r="L1292"/>
      <c r="M1292"/>
      <c r="N1292"/>
      <c r="O1292"/>
      <c r="P1292"/>
    </row>
    <row r="1293" spans="1:16" ht="12" customHeight="1" x14ac:dyDescent="0.2">
      <c r="A1293"/>
      <c r="B1293"/>
      <c r="C1293"/>
      <c r="H1293"/>
      <c r="I1293"/>
      <c r="J1293" s="243"/>
      <c r="K1293"/>
      <c r="L1293"/>
      <c r="M1293"/>
      <c r="N1293"/>
      <c r="O1293"/>
      <c r="P1293"/>
    </row>
    <row r="1294" spans="1:16" ht="12" customHeight="1" x14ac:dyDescent="0.2">
      <c r="A1294"/>
      <c r="B1294"/>
      <c r="C1294"/>
      <c r="H1294"/>
      <c r="I1294"/>
      <c r="J1294" s="243"/>
      <c r="K1294"/>
      <c r="L1294"/>
      <c r="M1294"/>
      <c r="N1294"/>
      <c r="O1294"/>
      <c r="P1294"/>
    </row>
    <row r="1295" spans="1:16" ht="12" customHeight="1" x14ac:dyDescent="0.2">
      <c r="A1295"/>
      <c r="B1295"/>
      <c r="C1295"/>
      <c r="H1295"/>
      <c r="I1295"/>
      <c r="J1295" s="243"/>
      <c r="K1295"/>
      <c r="L1295"/>
      <c r="M1295"/>
      <c r="N1295"/>
      <c r="O1295"/>
      <c r="P1295"/>
    </row>
    <row r="1296" spans="1:16" ht="12" customHeight="1" x14ac:dyDescent="0.2">
      <c r="A1296"/>
      <c r="B1296"/>
      <c r="C1296"/>
      <c r="H1296"/>
      <c r="I1296"/>
      <c r="J1296" s="243"/>
      <c r="K1296"/>
      <c r="L1296"/>
      <c r="M1296"/>
      <c r="N1296"/>
      <c r="O1296"/>
      <c r="P1296"/>
    </row>
    <row r="1297" spans="1:16" ht="12" customHeight="1" x14ac:dyDescent="0.2">
      <c r="A1297"/>
      <c r="B1297"/>
      <c r="C1297"/>
      <c r="H1297"/>
      <c r="I1297"/>
      <c r="J1297" s="243"/>
      <c r="K1297"/>
      <c r="L1297"/>
      <c r="M1297"/>
      <c r="N1297"/>
      <c r="O1297"/>
      <c r="P1297"/>
    </row>
    <row r="1298" spans="1:16" ht="12" customHeight="1" x14ac:dyDescent="0.2">
      <c r="A1298"/>
      <c r="B1298"/>
      <c r="C1298"/>
      <c r="H1298"/>
      <c r="I1298"/>
      <c r="J1298" s="243"/>
      <c r="K1298"/>
      <c r="L1298"/>
      <c r="M1298"/>
      <c r="N1298"/>
      <c r="O1298"/>
      <c r="P1298"/>
    </row>
    <row r="1299" spans="1:16" ht="12" customHeight="1" x14ac:dyDescent="0.2">
      <c r="A1299"/>
      <c r="B1299"/>
      <c r="C1299"/>
      <c r="H1299"/>
      <c r="I1299"/>
      <c r="J1299" s="243"/>
      <c r="K1299"/>
      <c r="L1299"/>
      <c r="M1299"/>
      <c r="N1299"/>
      <c r="O1299"/>
      <c r="P1299"/>
    </row>
    <row r="1300" spans="1:16" ht="12" customHeight="1" x14ac:dyDescent="0.2">
      <c r="A1300"/>
      <c r="B1300"/>
      <c r="C1300"/>
      <c r="H1300"/>
      <c r="I1300"/>
      <c r="J1300" s="243"/>
      <c r="K1300"/>
      <c r="L1300"/>
      <c r="M1300"/>
      <c r="N1300"/>
      <c r="O1300"/>
      <c r="P1300"/>
    </row>
    <row r="1301" spans="1:16" ht="12" customHeight="1" x14ac:dyDescent="0.2">
      <c r="A1301"/>
      <c r="B1301"/>
      <c r="C1301"/>
      <c r="H1301"/>
      <c r="I1301"/>
      <c r="J1301" s="243"/>
      <c r="K1301"/>
      <c r="L1301"/>
      <c r="M1301"/>
      <c r="N1301"/>
      <c r="O1301"/>
      <c r="P1301"/>
    </row>
    <row r="1302" spans="1:16" x14ac:dyDescent="0.2">
      <c r="A1302"/>
      <c r="B1302"/>
      <c r="C1302"/>
      <c r="H1302"/>
      <c r="I1302"/>
      <c r="J1302" s="243"/>
      <c r="K1302"/>
      <c r="L1302"/>
      <c r="M1302"/>
      <c r="N1302"/>
      <c r="O1302"/>
      <c r="P1302"/>
    </row>
    <row r="1303" spans="1:16" ht="12" customHeight="1" x14ac:dyDescent="0.2">
      <c r="A1303"/>
      <c r="B1303"/>
      <c r="C1303"/>
      <c r="H1303"/>
      <c r="I1303"/>
      <c r="J1303" s="243"/>
      <c r="K1303"/>
      <c r="L1303"/>
      <c r="M1303"/>
      <c r="N1303"/>
      <c r="O1303"/>
      <c r="P1303"/>
    </row>
    <row r="1304" spans="1:16" ht="12" customHeight="1" x14ac:dyDescent="0.2">
      <c r="A1304"/>
      <c r="B1304"/>
      <c r="C1304"/>
      <c r="H1304"/>
      <c r="I1304"/>
      <c r="J1304" s="243"/>
      <c r="K1304"/>
      <c r="L1304"/>
      <c r="M1304"/>
      <c r="N1304"/>
      <c r="O1304"/>
      <c r="P1304"/>
    </row>
    <row r="1305" spans="1:16" ht="12" customHeight="1" x14ac:dyDescent="0.2">
      <c r="A1305"/>
      <c r="B1305"/>
      <c r="C1305"/>
      <c r="H1305"/>
      <c r="I1305"/>
      <c r="J1305" s="243"/>
      <c r="K1305"/>
      <c r="L1305"/>
      <c r="M1305"/>
      <c r="N1305"/>
      <c r="O1305"/>
      <c r="P1305"/>
    </row>
    <row r="1306" spans="1:16" ht="12" customHeight="1" x14ac:dyDescent="0.2">
      <c r="A1306"/>
      <c r="B1306"/>
      <c r="C1306"/>
      <c r="H1306"/>
      <c r="I1306"/>
      <c r="J1306" s="243"/>
      <c r="K1306"/>
      <c r="L1306"/>
      <c r="M1306"/>
      <c r="N1306"/>
      <c r="O1306"/>
      <c r="P1306"/>
    </row>
    <row r="1307" spans="1:16" ht="12" customHeight="1" x14ac:dyDescent="0.2">
      <c r="A1307"/>
      <c r="B1307"/>
      <c r="C1307"/>
      <c r="H1307"/>
      <c r="I1307"/>
      <c r="J1307" s="243"/>
      <c r="K1307"/>
      <c r="L1307"/>
      <c r="M1307"/>
      <c r="N1307"/>
      <c r="O1307"/>
      <c r="P1307"/>
    </row>
    <row r="1308" spans="1:16" ht="12" customHeight="1" x14ac:dyDescent="0.2">
      <c r="A1308"/>
      <c r="B1308"/>
      <c r="C1308"/>
      <c r="H1308"/>
      <c r="I1308"/>
      <c r="J1308" s="243"/>
      <c r="K1308"/>
      <c r="L1308"/>
      <c r="M1308"/>
      <c r="N1308"/>
      <c r="O1308"/>
      <c r="P1308"/>
    </row>
    <row r="1309" spans="1:16" ht="12" customHeight="1" x14ac:dyDescent="0.2">
      <c r="A1309"/>
      <c r="B1309"/>
      <c r="C1309"/>
      <c r="H1309"/>
      <c r="I1309"/>
      <c r="J1309" s="243"/>
      <c r="K1309"/>
      <c r="L1309"/>
      <c r="M1309"/>
      <c r="N1309"/>
      <c r="O1309"/>
      <c r="P1309"/>
    </row>
    <row r="1310" spans="1:16" ht="12" customHeight="1" x14ac:dyDescent="0.2">
      <c r="A1310"/>
      <c r="B1310"/>
      <c r="C1310"/>
      <c r="H1310"/>
      <c r="I1310"/>
      <c r="J1310" s="243"/>
      <c r="K1310"/>
      <c r="L1310"/>
      <c r="M1310"/>
      <c r="N1310"/>
      <c r="O1310"/>
      <c r="P1310"/>
    </row>
    <row r="1311" spans="1:16" ht="12" customHeight="1" x14ac:dyDescent="0.2">
      <c r="A1311"/>
      <c r="B1311"/>
      <c r="C1311"/>
      <c r="H1311"/>
      <c r="I1311"/>
      <c r="J1311" s="243"/>
      <c r="K1311"/>
      <c r="L1311"/>
      <c r="M1311"/>
      <c r="N1311"/>
      <c r="O1311"/>
      <c r="P1311"/>
    </row>
    <row r="1312" spans="1:16" ht="12" customHeight="1" x14ac:dyDescent="0.2">
      <c r="A1312"/>
      <c r="B1312"/>
      <c r="C1312"/>
      <c r="H1312"/>
      <c r="I1312"/>
      <c r="J1312" s="243"/>
      <c r="K1312"/>
      <c r="L1312"/>
      <c r="M1312"/>
      <c r="N1312"/>
      <c r="O1312"/>
      <c r="P1312"/>
    </row>
    <row r="1313" spans="1:16" ht="12" customHeight="1" x14ac:dyDescent="0.2">
      <c r="A1313"/>
      <c r="B1313"/>
      <c r="C1313"/>
      <c r="H1313"/>
      <c r="I1313"/>
      <c r="J1313" s="243"/>
      <c r="K1313"/>
      <c r="L1313"/>
      <c r="M1313"/>
      <c r="N1313"/>
      <c r="O1313"/>
      <c r="P1313"/>
    </row>
    <row r="1314" spans="1:16" ht="12" customHeight="1" x14ac:dyDescent="0.2">
      <c r="A1314"/>
      <c r="B1314"/>
      <c r="C1314"/>
      <c r="H1314"/>
      <c r="I1314"/>
      <c r="J1314" s="243"/>
      <c r="K1314"/>
      <c r="L1314"/>
      <c r="M1314"/>
      <c r="N1314"/>
      <c r="O1314"/>
      <c r="P1314"/>
    </row>
    <row r="1315" spans="1:16" ht="12" customHeight="1" x14ac:dyDescent="0.2">
      <c r="A1315"/>
      <c r="B1315"/>
      <c r="C1315"/>
      <c r="H1315"/>
      <c r="I1315"/>
      <c r="J1315" s="243"/>
      <c r="K1315"/>
      <c r="L1315"/>
      <c r="M1315"/>
      <c r="N1315"/>
      <c r="O1315"/>
      <c r="P1315"/>
    </row>
    <row r="1316" spans="1:16" ht="12" customHeight="1" x14ac:dyDescent="0.2">
      <c r="A1316"/>
      <c r="B1316"/>
      <c r="C1316"/>
      <c r="H1316"/>
      <c r="I1316"/>
      <c r="J1316" s="243"/>
      <c r="K1316"/>
      <c r="L1316"/>
      <c r="M1316"/>
      <c r="N1316"/>
      <c r="O1316"/>
      <c r="P1316"/>
    </row>
    <row r="1317" spans="1:16" x14ac:dyDescent="0.2">
      <c r="A1317"/>
      <c r="B1317"/>
      <c r="C1317"/>
      <c r="H1317"/>
      <c r="I1317"/>
      <c r="J1317" s="243"/>
      <c r="K1317"/>
      <c r="L1317"/>
      <c r="M1317"/>
      <c r="N1317"/>
      <c r="O1317"/>
      <c r="P1317"/>
    </row>
    <row r="1318" spans="1:16" x14ac:dyDescent="0.2">
      <c r="A1318"/>
      <c r="B1318"/>
      <c r="C1318"/>
      <c r="H1318"/>
      <c r="I1318"/>
      <c r="J1318" s="243"/>
      <c r="K1318"/>
      <c r="L1318"/>
      <c r="M1318"/>
      <c r="N1318"/>
      <c r="O1318"/>
      <c r="P1318"/>
    </row>
    <row r="1319" spans="1:16" ht="12" customHeight="1" x14ac:dyDescent="0.2">
      <c r="A1319"/>
      <c r="B1319"/>
      <c r="C1319"/>
      <c r="H1319"/>
      <c r="I1319"/>
      <c r="J1319" s="243"/>
      <c r="K1319"/>
      <c r="L1319"/>
      <c r="M1319"/>
      <c r="N1319"/>
      <c r="O1319"/>
      <c r="P1319"/>
    </row>
    <row r="1320" spans="1:16" ht="12" customHeight="1" x14ac:dyDescent="0.2">
      <c r="A1320"/>
      <c r="B1320"/>
      <c r="C1320"/>
      <c r="H1320"/>
      <c r="I1320"/>
      <c r="J1320" s="243"/>
      <c r="K1320"/>
      <c r="L1320"/>
      <c r="M1320"/>
      <c r="N1320"/>
      <c r="O1320"/>
      <c r="P1320"/>
    </row>
    <row r="1321" spans="1:16" ht="12" customHeight="1" x14ac:dyDescent="0.2">
      <c r="A1321"/>
      <c r="B1321"/>
      <c r="C1321"/>
      <c r="H1321"/>
      <c r="I1321"/>
      <c r="J1321" s="243"/>
      <c r="K1321"/>
      <c r="L1321"/>
      <c r="M1321"/>
      <c r="N1321"/>
      <c r="O1321"/>
      <c r="P1321"/>
    </row>
    <row r="1322" spans="1:16" ht="12" customHeight="1" x14ac:dyDescent="0.2">
      <c r="A1322"/>
      <c r="B1322"/>
      <c r="C1322"/>
      <c r="H1322"/>
      <c r="I1322"/>
      <c r="J1322" s="243"/>
      <c r="K1322"/>
      <c r="L1322"/>
      <c r="M1322"/>
      <c r="N1322"/>
      <c r="O1322"/>
      <c r="P1322"/>
    </row>
    <row r="1323" spans="1:16" ht="12" customHeight="1" x14ac:dyDescent="0.2">
      <c r="A1323"/>
      <c r="B1323"/>
      <c r="C1323"/>
      <c r="H1323"/>
      <c r="I1323"/>
      <c r="J1323" s="243"/>
      <c r="K1323"/>
      <c r="L1323"/>
      <c r="M1323"/>
      <c r="N1323"/>
      <c r="O1323"/>
      <c r="P1323"/>
    </row>
    <row r="1324" spans="1:16" ht="12" customHeight="1" x14ac:dyDescent="0.2">
      <c r="A1324"/>
      <c r="B1324"/>
      <c r="C1324"/>
      <c r="H1324"/>
      <c r="I1324"/>
      <c r="J1324" s="243"/>
      <c r="K1324"/>
      <c r="L1324"/>
      <c r="M1324"/>
      <c r="N1324"/>
      <c r="O1324"/>
      <c r="P1324"/>
    </row>
    <row r="1325" spans="1:16" ht="12" customHeight="1" x14ac:dyDescent="0.2">
      <c r="A1325"/>
      <c r="B1325"/>
      <c r="C1325"/>
      <c r="H1325"/>
      <c r="I1325"/>
      <c r="J1325" s="243"/>
      <c r="K1325"/>
      <c r="L1325"/>
      <c r="M1325"/>
      <c r="N1325"/>
      <c r="O1325"/>
      <c r="P1325"/>
    </row>
    <row r="1326" spans="1:16" ht="12" customHeight="1" x14ac:dyDescent="0.2">
      <c r="A1326"/>
      <c r="B1326"/>
      <c r="C1326"/>
      <c r="H1326"/>
      <c r="I1326"/>
      <c r="J1326" s="243"/>
      <c r="K1326"/>
      <c r="L1326"/>
      <c r="M1326"/>
      <c r="N1326"/>
      <c r="O1326"/>
      <c r="P1326"/>
    </row>
    <row r="1327" spans="1:16" x14ac:dyDescent="0.2">
      <c r="A1327"/>
      <c r="B1327"/>
      <c r="C1327"/>
      <c r="H1327"/>
      <c r="I1327"/>
      <c r="J1327" s="243"/>
      <c r="K1327"/>
      <c r="L1327"/>
      <c r="M1327"/>
      <c r="N1327"/>
      <c r="O1327"/>
      <c r="P1327"/>
    </row>
    <row r="1328" spans="1:16" x14ac:dyDescent="0.2">
      <c r="A1328"/>
      <c r="B1328"/>
      <c r="C1328"/>
      <c r="H1328"/>
      <c r="I1328"/>
      <c r="J1328" s="243"/>
      <c r="K1328"/>
      <c r="L1328"/>
      <c r="M1328"/>
      <c r="N1328"/>
      <c r="O1328"/>
      <c r="P1328"/>
    </row>
    <row r="1329" spans="1:16" x14ac:dyDescent="0.2">
      <c r="A1329"/>
      <c r="B1329"/>
      <c r="C1329"/>
      <c r="H1329"/>
      <c r="I1329"/>
      <c r="J1329" s="243"/>
      <c r="K1329"/>
      <c r="L1329"/>
      <c r="M1329"/>
      <c r="N1329"/>
      <c r="O1329"/>
      <c r="P1329"/>
    </row>
    <row r="1330" spans="1:16" x14ac:dyDescent="0.2">
      <c r="A1330"/>
      <c r="B1330"/>
      <c r="C1330"/>
      <c r="H1330"/>
      <c r="I1330"/>
      <c r="J1330" s="243"/>
      <c r="K1330"/>
      <c r="L1330"/>
      <c r="M1330"/>
      <c r="N1330"/>
      <c r="O1330"/>
      <c r="P1330"/>
    </row>
    <row r="1331" spans="1:16" x14ac:dyDescent="0.2">
      <c r="A1331"/>
      <c r="B1331"/>
      <c r="C1331"/>
      <c r="H1331"/>
      <c r="I1331"/>
      <c r="J1331" s="243"/>
      <c r="K1331"/>
      <c r="L1331"/>
      <c r="M1331"/>
      <c r="N1331"/>
      <c r="O1331"/>
      <c r="P1331"/>
    </row>
    <row r="1332" spans="1:16" ht="12" customHeight="1" x14ac:dyDescent="0.2">
      <c r="A1332"/>
      <c r="B1332"/>
      <c r="C1332"/>
      <c r="H1332"/>
      <c r="I1332"/>
      <c r="J1332" s="243"/>
      <c r="K1332"/>
      <c r="L1332"/>
      <c r="M1332"/>
      <c r="N1332"/>
      <c r="O1332"/>
      <c r="P1332"/>
    </row>
    <row r="1333" spans="1:16" ht="12" customHeight="1" x14ac:dyDescent="0.2">
      <c r="A1333"/>
      <c r="B1333"/>
      <c r="C1333"/>
      <c r="H1333"/>
      <c r="I1333"/>
      <c r="J1333" s="243"/>
      <c r="K1333"/>
      <c r="L1333"/>
      <c r="M1333"/>
      <c r="N1333"/>
      <c r="O1333"/>
      <c r="P1333"/>
    </row>
    <row r="1334" spans="1:16" ht="12" customHeight="1" x14ac:dyDescent="0.2">
      <c r="A1334"/>
      <c r="B1334"/>
      <c r="C1334"/>
      <c r="H1334"/>
      <c r="I1334"/>
      <c r="J1334" s="243"/>
      <c r="K1334"/>
      <c r="L1334"/>
      <c r="M1334"/>
      <c r="N1334"/>
      <c r="O1334"/>
      <c r="P1334"/>
    </row>
    <row r="1335" spans="1:16" ht="12" customHeight="1" x14ac:dyDescent="0.2">
      <c r="A1335"/>
      <c r="B1335"/>
      <c r="C1335"/>
      <c r="H1335"/>
      <c r="I1335"/>
      <c r="J1335" s="243"/>
      <c r="K1335"/>
      <c r="L1335"/>
      <c r="M1335"/>
      <c r="N1335"/>
      <c r="O1335"/>
      <c r="P1335"/>
    </row>
    <row r="1336" spans="1:16" x14ac:dyDescent="0.2">
      <c r="A1336"/>
      <c r="B1336"/>
      <c r="C1336"/>
      <c r="H1336"/>
      <c r="I1336"/>
      <c r="J1336" s="243"/>
      <c r="K1336"/>
      <c r="L1336"/>
      <c r="M1336"/>
      <c r="N1336"/>
      <c r="O1336"/>
      <c r="P1336"/>
    </row>
    <row r="1337" spans="1:16" ht="12" customHeight="1" x14ac:dyDescent="0.2">
      <c r="A1337"/>
      <c r="B1337"/>
      <c r="C1337"/>
      <c r="H1337"/>
      <c r="I1337"/>
      <c r="J1337" s="243"/>
      <c r="K1337"/>
      <c r="L1337"/>
      <c r="M1337"/>
      <c r="N1337"/>
      <c r="O1337"/>
      <c r="P1337"/>
    </row>
    <row r="1338" spans="1:16" ht="12" customHeight="1" x14ac:dyDescent="0.2">
      <c r="A1338"/>
      <c r="B1338"/>
      <c r="C1338"/>
      <c r="H1338"/>
      <c r="I1338"/>
      <c r="J1338" s="243"/>
      <c r="K1338"/>
      <c r="L1338"/>
      <c r="M1338"/>
      <c r="N1338"/>
      <c r="O1338"/>
      <c r="P1338"/>
    </row>
    <row r="1339" spans="1:16" ht="12" customHeight="1" x14ac:dyDescent="0.2">
      <c r="A1339"/>
      <c r="B1339"/>
      <c r="C1339"/>
      <c r="H1339"/>
      <c r="I1339"/>
      <c r="J1339" s="243"/>
      <c r="K1339"/>
      <c r="L1339"/>
      <c r="M1339"/>
      <c r="N1339"/>
      <c r="O1339"/>
      <c r="P1339"/>
    </row>
    <row r="1340" spans="1:16" ht="12" customHeight="1" x14ac:dyDescent="0.2">
      <c r="A1340"/>
      <c r="B1340"/>
      <c r="C1340"/>
      <c r="H1340"/>
      <c r="I1340"/>
      <c r="J1340" s="243"/>
      <c r="K1340"/>
      <c r="L1340"/>
      <c r="M1340"/>
      <c r="N1340"/>
      <c r="O1340"/>
      <c r="P1340"/>
    </row>
    <row r="1341" spans="1:16" ht="12" customHeight="1" x14ac:dyDescent="0.2">
      <c r="A1341"/>
      <c r="B1341"/>
      <c r="C1341"/>
      <c r="H1341"/>
      <c r="I1341"/>
      <c r="J1341" s="243"/>
      <c r="K1341"/>
      <c r="L1341"/>
      <c r="M1341"/>
      <c r="N1341"/>
      <c r="O1341"/>
      <c r="P1341"/>
    </row>
    <row r="1342" spans="1:16" ht="12" customHeight="1" x14ac:dyDescent="0.2">
      <c r="A1342"/>
      <c r="B1342"/>
      <c r="C1342"/>
      <c r="H1342"/>
      <c r="I1342"/>
      <c r="J1342" s="243"/>
      <c r="K1342"/>
      <c r="L1342"/>
      <c r="M1342"/>
      <c r="N1342"/>
      <c r="O1342"/>
      <c r="P1342"/>
    </row>
    <row r="1343" spans="1:16" ht="12" customHeight="1" x14ac:dyDescent="0.2">
      <c r="A1343"/>
      <c r="B1343"/>
      <c r="C1343"/>
      <c r="H1343"/>
      <c r="I1343"/>
      <c r="J1343" s="243"/>
      <c r="K1343"/>
      <c r="L1343"/>
      <c r="M1343"/>
      <c r="N1343"/>
      <c r="O1343"/>
      <c r="P1343"/>
    </row>
    <row r="1344" spans="1:16" x14ac:dyDescent="0.2">
      <c r="A1344"/>
      <c r="B1344"/>
      <c r="C1344"/>
      <c r="H1344"/>
      <c r="I1344"/>
      <c r="J1344" s="243"/>
      <c r="K1344"/>
      <c r="L1344"/>
      <c r="M1344"/>
      <c r="N1344"/>
      <c r="O1344"/>
      <c r="P1344"/>
    </row>
    <row r="1345" spans="1:16" x14ac:dyDescent="0.2">
      <c r="A1345"/>
      <c r="B1345"/>
      <c r="C1345"/>
      <c r="H1345"/>
      <c r="I1345"/>
      <c r="J1345" s="243"/>
      <c r="K1345"/>
      <c r="L1345"/>
      <c r="M1345"/>
      <c r="N1345"/>
      <c r="O1345"/>
      <c r="P1345"/>
    </row>
    <row r="1346" spans="1:16" ht="12" customHeight="1" x14ac:dyDescent="0.2">
      <c r="A1346"/>
      <c r="B1346"/>
      <c r="C1346"/>
      <c r="H1346"/>
      <c r="I1346"/>
      <c r="J1346" s="243"/>
      <c r="K1346"/>
      <c r="L1346"/>
      <c r="M1346"/>
      <c r="N1346"/>
      <c r="O1346"/>
      <c r="P1346"/>
    </row>
    <row r="1347" spans="1:16" ht="12" customHeight="1" x14ac:dyDescent="0.2">
      <c r="A1347"/>
      <c r="B1347"/>
      <c r="C1347"/>
      <c r="H1347"/>
      <c r="I1347"/>
      <c r="J1347" s="243"/>
      <c r="K1347"/>
      <c r="L1347"/>
      <c r="M1347"/>
      <c r="N1347"/>
      <c r="O1347"/>
      <c r="P1347"/>
    </row>
    <row r="1348" spans="1:16" ht="12" customHeight="1" x14ac:dyDescent="0.2">
      <c r="A1348"/>
      <c r="B1348"/>
      <c r="C1348"/>
      <c r="H1348"/>
      <c r="I1348"/>
      <c r="J1348" s="243"/>
      <c r="K1348"/>
      <c r="L1348"/>
      <c r="M1348"/>
      <c r="N1348"/>
      <c r="O1348"/>
      <c r="P1348"/>
    </row>
    <row r="1349" spans="1:16" ht="12" customHeight="1" x14ac:dyDescent="0.2">
      <c r="A1349"/>
      <c r="B1349"/>
      <c r="C1349"/>
      <c r="H1349"/>
      <c r="I1349"/>
      <c r="J1349" s="243"/>
      <c r="K1349"/>
      <c r="L1349"/>
      <c r="M1349"/>
      <c r="N1349"/>
      <c r="O1349"/>
      <c r="P1349"/>
    </row>
    <row r="1350" spans="1:16" ht="12" customHeight="1" x14ac:dyDescent="0.2">
      <c r="A1350"/>
      <c r="B1350"/>
      <c r="C1350"/>
      <c r="H1350"/>
      <c r="I1350"/>
      <c r="J1350" s="243"/>
      <c r="K1350"/>
      <c r="L1350"/>
      <c r="M1350"/>
      <c r="N1350"/>
      <c r="O1350"/>
      <c r="P1350"/>
    </row>
    <row r="1351" spans="1:16" ht="12" customHeight="1" x14ac:dyDescent="0.2">
      <c r="A1351"/>
      <c r="B1351"/>
      <c r="C1351"/>
      <c r="H1351"/>
      <c r="I1351"/>
      <c r="J1351" s="243"/>
      <c r="K1351"/>
      <c r="L1351"/>
      <c r="M1351"/>
      <c r="N1351"/>
      <c r="O1351"/>
      <c r="P1351"/>
    </row>
    <row r="1352" spans="1:16" ht="12" customHeight="1" x14ac:dyDescent="0.2">
      <c r="A1352"/>
      <c r="B1352"/>
      <c r="C1352"/>
      <c r="H1352"/>
      <c r="I1352"/>
      <c r="J1352" s="243"/>
      <c r="K1352"/>
      <c r="L1352"/>
      <c r="M1352"/>
      <c r="N1352"/>
      <c r="O1352"/>
      <c r="P1352"/>
    </row>
    <row r="1353" spans="1:16" ht="12" customHeight="1" x14ac:dyDescent="0.2">
      <c r="A1353"/>
      <c r="B1353"/>
      <c r="C1353"/>
      <c r="H1353"/>
      <c r="I1353"/>
      <c r="J1353" s="243"/>
      <c r="K1353"/>
      <c r="L1353"/>
      <c r="M1353"/>
      <c r="N1353"/>
      <c r="O1353"/>
      <c r="P1353"/>
    </row>
    <row r="1354" spans="1:16" ht="12" customHeight="1" x14ac:dyDescent="0.2">
      <c r="A1354"/>
      <c r="B1354"/>
      <c r="C1354"/>
      <c r="H1354"/>
      <c r="I1354"/>
      <c r="J1354" s="243"/>
      <c r="K1354"/>
      <c r="L1354"/>
      <c r="M1354"/>
      <c r="N1354"/>
      <c r="O1354"/>
      <c r="P1354"/>
    </row>
    <row r="1355" spans="1:16" ht="12" customHeight="1" x14ac:dyDescent="0.2">
      <c r="A1355"/>
      <c r="B1355"/>
      <c r="C1355"/>
      <c r="H1355"/>
      <c r="I1355"/>
      <c r="J1355" s="243"/>
      <c r="K1355"/>
      <c r="L1355"/>
      <c r="M1355"/>
      <c r="N1355"/>
      <c r="O1355"/>
      <c r="P1355"/>
    </row>
    <row r="1356" spans="1:16" ht="15" customHeight="1" x14ac:dyDescent="0.2">
      <c r="A1356"/>
      <c r="B1356"/>
      <c r="C1356"/>
      <c r="H1356"/>
      <c r="I1356"/>
      <c r="J1356" s="243"/>
      <c r="K1356"/>
      <c r="L1356"/>
      <c r="M1356"/>
      <c r="N1356"/>
      <c r="O1356"/>
      <c r="P1356"/>
    </row>
    <row r="1357" spans="1:16" ht="15" customHeight="1" x14ac:dyDescent="0.2">
      <c r="A1357"/>
      <c r="B1357"/>
      <c r="C1357"/>
      <c r="H1357"/>
      <c r="I1357"/>
      <c r="J1357" s="243"/>
      <c r="K1357"/>
      <c r="L1357"/>
      <c r="M1357"/>
      <c r="N1357"/>
      <c r="O1357"/>
      <c r="P1357"/>
    </row>
    <row r="1358" spans="1:16" ht="15" customHeight="1" x14ac:dyDescent="0.2">
      <c r="A1358"/>
      <c r="B1358"/>
      <c r="C1358"/>
      <c r="H1358"/>
      <c r="I1358"/>
      <c r="J1358" s="243"/>
      <c r="K1358"/>
      <c r="L1358"/>
      <c r="M1358"/>
      <c r="N1358"/>
      <c r="O1358"/>
      <c r="P1358"/>
    </row>
    <row r="1359" spans="1:16" ht="15" customHeight="1" x14ac:dyDescent="0.2">
      <c r="A1359"/>
      <c r="B1359"/>
      <c r="C1359"/>
      <c r="H1359"/>
      <c r="I1359"/>
      <c r="J1359" s="243"/>
      <c r="K1359"/>
      <c r="L1359"/>
      <c r="M1359"/>
      <c r="N1359"/>
      <c r="O1359"/>
      <c r="P1359"/>
    </row>
    <row r="1360" spans="1:16" ht="15" customHeight="1" x14ac:dyDescent="0.2">
      <c r="A1360"/>
      <c r="B1360"/>
      <c r="C1360"/>
      <c r="H1360"/>
      <c r="I1360"/>
      <c r="J1360" s="243"/>
      <c r="K1360"/>
      <c r="L1360"/>
      <c r="M1360"/>
      <c r="N1360"/>
      <c r="O1360"/>
      <c r="P1360"/>
    </row>
    <row r="1361" spans="1:16" ht="15" customHeight="1" x14ac:dyDescent="0.2">
      <c r="A1361"/>
      <c r="B1361"/>
      <c r="C1361"/>
      <c r="H1361"/>
      <c r="I1361"/>
      <c r="J1361" s="243"/>
      <c r="K1361"/>
      <c r="L1361"/>
      <c r="M1361"/>
      <c r="N1361"/>
      <c r="O1361"/>
      <c r="P1361"/>
    </row>
    <row r="1362" spans="1:16" ht="15" customHeight="1" x14ac:dyDescent="0.2">
      <c r="A1362"/>
      <c r="B1362"/>
      <c r="C1362"/>
      <c r="H1362"/>
      <c r="I1362"/>
      <c r="J1362" s="243"/>
      <c r="K1362"/>
      <c r="L1362"/>
      <c r="M1362"/>
      <c r="N1362"/>
      <c r="O1362"/>
      <c r="P1362"/>
    </row>
    <row r="1363" spans="1:16" ht="15" customHeight="1" x14ac:dyDescent="0.2">
      <c r="A1363"/>
      <c r="B1363"/>
      <c r="C1363"/>
      <c r="H1363"/>
      <c r="I1363"/>
      <c r="J1363" s="243"/>
      <c r="K1363"/>
      <c r="L1363"/>
      <c r="M1363"/>
      <c r="N1363"/>
      <c r="O1363"/>
      <c r="P1363"/>
    </row>
    <row r="1364" spans="1:16" ht="15" customHeight="1" x14ac:dyDescent="0.2">
      <c r="A1364"/>
      <c r="B1364"/>
      <c r="C1364"/>
      <c r="H1364"/>
      <c r="I1364"/>
      <c r="J1364" s="243"/>
      <c r="K1364"/>
      <c r="L1364"/>
      <c r="M1364"/>
      <c r="N1364"/>
      <c r="O1364"/>
      <c r="P1364"/>
    </row>
    <row r="1365" spans="1:16" ht="15" customHeight="1" x14ac:dyDescent="0.2">
      <c r="A1365"/>
      <c r="B1365"/>
      <c r="C1365"/>
      <c r="H1365"/>
      <c r="I1365"/>
      <c r="J1365" s="243"/>
      <c r="K1365"/>
      <c r="L1365"/>
      <c r="M1365"/>
      <c r="N1365"/>
      <c r="O1365"/>
      <c r="P1365"/>
    </row>
    <row r="1366" spans="1:16" ht="15" customHeight="1" x14ac:dyDescent="0.2">
      <c r="A1366"/>
      <c r="B1366"/>
      <c r="C1366"/>
      <c r="H1366"/>
      <c r="I1366"/>
      <c r="J1366" s="243"/>
      <c r="K1366"/>
      <c r="L1366"/>
      <c r="M1366"/>
      <c r="N1366"/>
      <c r="O1366"/>
      <c r="P1366"/>
    </row>
    <row r="1367" spans="1:16" ht="17.25" customHeight="1" x14ac:dyDescent="0.2">
      <c r="A1367"/>
      <c r="B1367"/>
      <c r="C1367"/>
      <c r="H1367"/>
      <c r="I1367"/>
      <c r="J1367" s="243"/>
      <c r="K1367"/>
      <c r="L1367"/>
      <c r="M1367"/>
      <c r="N1367"/>
      <c r="O1367"/>
      <c r="P1367"/>
    </row>
    <row r="1368" spans="1:16" x14ac:dyDescent="0.2">
      <c r="A1368"/>
      <c r="B1368"/>
      <c r="C1368"/>
      <c r="H1368"/>
      <c r="I1368"/>
      <c r="J1368" s="243"/>
      <c r="K1368"/>
      <c r="L1368"/>
      <c r="M1368"/>
      <c r="N1368"/>
      <c r="O1368"/>
      <c r="P1368"/>
    </row>
    <row r="1369" spans="1:16" ht="13.5" customHeight="1" x14ac:dyDescent="0.2">
      <c r="A1369"/>
      <c r="B1369"/>
      <c r="C1369"/>
      <c r="H1369"/>
      <c r="I1369"/>
      <c r="J1369" s="243"/>
      <c r="K1369"/>
      <c r="L1369"/>
      <c r="M1369"/>
      <c r="N1369"/>
      <c r="O1369"/>
      <c r="P1369"/>
    </row>
    <row r="1370" spans="1:16" ht="35.25" customHeight="1" x14ac:dyDescent="0.2">
      <c r="A1370"/>
      <c r="B1370"/>
      <c r="C1370"/>
      <c r="H1370"/>
      <c r="I1370"/>
      <c r="J1370" s="243"/>
      <c r="K1370"/>
      <c r="L1370"/>
      <c r="M1370"/>
      <c r="N1370"/>
      <c r="O1370"/>
      <c r="P1370"/>
    </row>
    <row r="1371" spans="1:16" ht="40.5" customHeight="1" x14ac:dyDescent="0.2">
      <c r="A1371"/>
      <c r="B1371"/>
      <c r="C1371"/>
      <c r="H1371"/>
      <c r="I1371"/>
      <c r="J1371" s="243"/>
      <c r="K1371"/>
      <c r="L1371"/>
      <c r="M1371"/>
      <c r="N1371"/>
      <c r="O1371"/>
      <c r="P1371"/>
    </row>
    <row r="1372" spans="1:16" x14ac:dyDescent="0.2">
      <c r="A1372"/>
      <c r="B1372"/>
      <c r="C1372"/>
      <c r="H1372"/>
      <c r="I1372"/>
      <c r="J1372" s="243"/>
      <c r="K1372"/>
      <c r="L1372"/>
      <c r="M1372"/>
      <c r="N1372"/>
      <c r="O1372"/>
      <c r="P1372"/>
    </row>
    <row r="1373" spans="1:16" x14ac:dyDescent="0.2">
      <c r="A1373"/>
      <c r="B1373"/>
      <c r="C1373"/>
      <c r="H1373"/>
      <c r="I1373"/>
      <c r="J1373" s="243"/>
      <c r="K1373"/>
      <c r="L1373"/>
      <c r="M1373"/>
      <c r="N1373"/>
      <c r="O1373"/>
      <c r="P1373"/>
    </row>
    <row r="1374" spans="1:16" x14ac:dyDescent="0.2">
      <c r="A1374"/>
      <c r="B1374"/>
      <c r="C1374"/>
      <c r="H1374"/>
      <c r="I1374"/>
      <c r="J1374" s="243"/>
      <c r="K1374"/>
      <c r="L1374"/>
      <c r="M1374"/>
      <c r="N1374"/>
      <c r="O1374"/>
      <c r="P1374"/>
    </row>
    <row r="1375" spans="1:16" x14ac:dyDescent="0.2">
      <c r="A1375"/>
      <c r="B1375"/>
      <c r="C1375"/>
      <c r="H1375"/>
      <c r="I1375"/>
      <c r="J1375" s="243"/>
      <c r="K1375"/>
      <c r="L1375"/>
      <c r="M1375"/>
      <c r="N1375"/>
      <c r="O1375"/>
      <c r="P1375"/>
    </row>
    <row r="1376" spans="1:16" ht="12" customHeight="1" x14ac:dyDescent="0.2">
      <c r="A1376"/>
      <c r="B1376"/>
      <c r="C1376"/>
      <c r="H1376"/>
      <c r="I1376"/>
      <c r="J1376" s="243"/>
      <c r="K1376"/>
      <c r="L1376"/>
      <c r="M1376"/>
      <c r="N1376"/>
      <c r="O1376"/>
      <c r="P1376"/>
    </row>
    <row r="1377" spans="1:16" ht="12" customHeight="1" x14ac:dyDescent="0.2">
      <c r="A1377"/>
      <c r="B1377"/>
      <c r="C1377"/>
      <c r="H1377"/>
      <c r="I1377"/>
      <c r="J1377" s="243"/>
      <c r="K1377"/>
      <c r="L1377"/>
      <c r="M1377"/>
      <c r="N1377"/>
      <c r="O1377"/>
      <c r="P1377"/>
    </row>
    <row r="1378" spans="1:16" ht="12" customHeight="1" x14ac:dyDescent="0.2">
      <c r="A1378"/>
      <c r="B1378"/>
      <c r="C1378"/>
      <c r="H1378"/>
      <c r="I1378"/>
      <c r="J1378" s="243"/>
      <c r="K1378"/>
      <c r="L1378"/>
      <c r="M1378"/>
      <c r="N1378"/>
      <c r="O1378"/>
      <c r="P1378"/>
    </row>
    <row r="1379" spans="1:16" ht="12" customHeight="1" x14ac:dyDescent="0.2">
      <c r="A1379"/>
      <c r="B1379"/>
      <c r="C1379"/>
      <c r="H1379"/>
      <c r="I1379"/>
      <c r="J1379" s="243"/>
      <c r="K1379"/>
      <c r="L1379"/>
      <c r="M1379"/>
      <c r="N1379"/>
      <c r="O1379"/>
      <c r="P1379"/>
    </row>
    <row r="1380" spans="1:16" ht="12" customHeight="1" x14ac:dyDescent="0.2">
      <c r="A1380"/>
      <c r="B1380"/>
      <c r="C1380"/>
      <c r="H1380"/>
      <c r="I1380"/>
      <c r="J1380" s="243"/>
      <c r="K1380"/>
      <c r="L1380"/>
      <c r="M1380"/>
      <c r="N1380"/>
      <c r="O1380"/>
      <c r="P1380"/>
    </row>
    <row r="1381" spans="1:16" ht="12" customHeight="1" x14ac:dyDescent="0.2">
      <c r="A1381"/>
      <c r="B1381"/>
      <c r="C1381"/>
      <c r="H1381"/>
      <c r="I1381"/>
      <c r="J1381" s="243"/>
      <c r="K1381"/>
      <c r="L1381"/>
      <c r="M1381"/>
      <c r="N1381"/>
      <c r="O1381"/>
      <c r="P1381"/>
    </row>
    <row r="1382" spans="1:16" ht="12" customHeight="1" x14ac:dyDescent="0.2">
      <c r="A1382"/>
      <c r="B1382"/>
      <c r="C1382"/>
      <c r="H1382"/>
      <c r="I1382"/>
      <c r="J1382" s="243"/>
      <c r="K1382"/>
      <c r="L1382"/>
      <c r="M1382"/>
      <c r="N1382"/>
      <c r="O1382"/>
      <c r="P1382"/>
    </row>
    <row r="1383" spans="1:16" ht="12" customHeight="1" x14ac:dyDescent="0.2">
      <c r="A1383"/>
      <c r="B1383"/>
      <c r="C1383"/>
      <c r="H1383"/>
      <c r="I1383"/>
      <c r="J1383" s="243"/>
      <c r="K1383"/>
      <c r="L1383"/>
      <c r="M1383"/>
      <c r="N1383"/>
      <c r="O1383"/>
      <c r="P1383"/>
    </row>
    <row r="1384" spans="1:16" ht="12" customHeight="1" x14ac:dyDescent="0.2">
      <c r="A1384"/>
      <c r="B1384"/>
      <c r="C1384"/>
      <c r="H1384"/>
      <c r="I1384"/>
      <c r="J1384" s="243"/>
      <c r="K1384"/>
      <c r="L1384"/>
      <c r="M1384"/>
      <c r="N1384"/>
      <c r="O1384"/>
      <c r="P1384"/>
    </row>
    <row r="1385" spans="1:16" ht="12" customHeight="1" x14ac:dyDescent="0.2">
      <c r="A1385"/>
      <c r="B1385"/>
      <c r="C1385"/>
      <c r="H1385"/>
      <c r="I1385"/>
      <c r="J1385" s="243"/>
      <c r="K1385"/>
      <c r="L1385"/>
      <c r="M1385"/>
      <c r="N1385"/>
      <c r="O1385"/>
      <c r="P1385"/>
    </row>
    <row r="1386" spans="1:16" x14ac:dyDescent="0.2">
      <c r="A1386"/>
      <c r="B1386"/>
      <c r="C1386"/>
      <c r="H1386"/>
      <c r="I1386"/>
      <c r="J1386" s="243"/>
      <c r="K1386"/>
      <c r="L1386"/>
      <c r="M1386"/>
      <c r="N1386"/>
      <c r="O1386"/>
      <c r="P1386"/>
    </row>
    <row r="1387" spans="1:16" ht="15" customHeight="1" x14ac:dyDescent="0.2">
      <c r="A1387"/>
      <c r="B1387"/>
      <c r="C1387"/>
      <c r="H1387"/>
      <c r="I1387"/>
      <c r="J1387" s="243"/>
      <c r="K1387"/>
      <c r="L1387"/>
      <c r="M1387"/>
      <c r="N1387"/>
      <c r="O1387"/>
      <c r="P1387"/>
    </row>
    <row r="1388" spans="1:16" ht="15" customHeight="1" x14ac:dyDescent="0.2">
      <c r="A1388"/>
      <c r="B1388"/>
      <c r="C1388"/>
      <c r="H1388"/>
      <c r="I1388"/>
      <c r="J1388" s="243"/>
      <c r="K1388"/>
      <c r="L1388"/>
      <c r="M1388"/>
      <c r="N1388"/>
      <c r="O1388"/>
      <c r="P1388"/>
    </row>
    <row r="1389" spans="1:16" ht="15" customHeight="1" x14ac:dyDescent="0.2">
      <c r="A1389"/>
      <c r="B1389"/>
      <c r="C1389"/>
      <c r="H1389"/>
      <c r="I1389"/>
      <c r="J1389" s="243"/>
      <c r="K1389"/>
      <c r="L1389"/>
      <c r="M1389"/>
      <c r="N1389"/>
      <c r="O1389"/>
      <c r="P1389"/>
    </row>
    <row r="1390" spans="1:16" x14ac:dyDescent="0.2">
      <c r="A1390"/>
      <c r="B1390"/>
      <c r="C1390"/>
      <c r="H1390"/>
      <c r="I1390"/>
      <c r="J1390" s="243"/>
      <c r="K1390"/>
      <c r="L1390"/>
      <c r="M1390"/>
      <c r="N1390"/>
      <c r="O1390"/>
      <c r="P1390"/>
    </row>
    <row r="1391" spans="1:16" x14ac:dyDescent="0.2">
      <c r="A1391"/>
      <c r="B1391"/>
      <c r="C1391"/>
      <c r="H1391"/>
      <c r="I1391"/>
      <c r="J1391" s="243"/>
      <c r="K1391"/>
      <c r="L1391"/>
      <c r="M1391"/>
      <c r="N1391"/>
      <c r="O1391"/>
      <c r="P1391"/>
    </row>
    <row r="1392" spans="1:16" x14ac:dyDescent="0.2">
      <c r="A1392"/>
      <c r="B1392"/>
      <c r="C1392"/>
      <c r="H1392"/>
      <c r="I1392"/>
      <c r="J1392" s="243"/>
      <c r="K1392"/>
      <c r="L1392"/>
      <c r="M1392"/>
      <c r="N1392"/>
      <c r="O1392"/>
      <c r="P1392"/>
    </row>
    <row r="1393" spans="1:16" x14ac:dyDescent="0.2">
      <c r="A1393"/>
      <c r="B1393"/>
      <c r="C1393"/>
      <c r="H1393"/>
      <c r="I1393"/>
      <c r="J1393" s="243"/>
      <c r="K1393"/>
      <c r="L1393"/>
      <c r="M1393"/>
      <c r="N1393"/>
      <c r="O1393"/>
      <c r="P1393"/>
    </row>
    <row r="1394" spans="1:16" x14ac:dyDescent="0.2">
      <c r="A1394"/>
      <c r="B1394"/>
      <c r="C1394"/>
      <c r="H1394"/>
      <c r="I1394"/>
      <c r="J1394" s="243"/>
      <c r="K1394"/>
      <c r="L1394"/>
      <c r="M1394"/>
      <c r="N1394"/>
      <c r="O1394"/>
      <c r="P1394"/>
    </row>
    <row r="1395" spans="1:16" x14ac:dyDescent="0.2">
      <c r="A1395"/>
      <c r="B1395"/>
      <c r="C1395"/>
      <c r="H1395"/>
      <c r="I1395"/>
      <c r="J1395" s="243"/>
      <c r="K1395"/>
      <c r="L1395"/>
      <c r="M1395"/>
      <c r="N1395"/>
      <c r="O1395"/>
      <c r="P1395"/>
    </row>
    <row r="1396" spans="1:16" x14ac:dyDescent="0.2">
      <c r="A1396"/>
      <c r="B1396"/>
      <c r="C1396"/>
      <c r="H1396"/>
      <c r="I1396"/>
      <c r="J1396" s="243"/>
      <c r="K1396"/>
      <c r="L1396"/>
      <c r="M1396"/>
      <c r="N1396"/>
      <c r="O1396"/>
      <c r="P1396"/>
    </row>
    <row r="1397" spans="1:16" x14ac:dyDescent="0.2">
      <c r="A1397"/>
      <c r="B1397"/>
      <c r="C1397"/>
      <c r="H1397"/>
      <c r="I1397"/>
      <c r="J1397" s="243"/>
      <c r="K1397"/>
      <c r="L1397"/>
      <c r="M1397"/>
      <c r="N1397"/>
      <c r="O1397"/>
      <c r="P1397"/>
    </row>
    <row r="1398" spans="1:16" x14ac:dyDescent="0.2">
      <c r="A1398"/>
      <c r="B1398"/>
      <c r="C1398"/>
      <c r="H1398"/>
      <c r="I1398"/>
      <c r="J1398" s="243"/>
      <c r="K1398"/>
      <c r="L1398"/>
      <c r="M1398"/>
      <c r="N1398"/>
      <c r="O1398"/>
      <c r="P1398"/>
    </row>
    <row r="1399" spans="1:16" x14ac:dyDescent="0.2">
      <c r="A1399"/>
      <c r="B1399"/>
      <c r="C1399"/>
      <c r="H1399"/>
      <c r="I1399"/>
      <c r="J1399" s="243"/>
      <c r="K1399"/>
      <c r="L1399"/>
      <c r="M1399"/>
      <c r="N1399"/>
      <c r="O1399"/>
      <c r="P1399"/>
    </row>
    <row r="1400" spans="1:16" x14ac:dyDescent="0.2">
      <c r="A1400"/>
      <c r="B1400"/>
      <c r="C1400"/>
      <c r="H1400"/>
      <c r="I1400"/>
      <c r="J1400" s="243"/>
      <c r="K1400"/>
      <c r="L1400"/>
      <c r="M1400"/>
      <c r="N1400"/>
      <c r="O1400"/>
      <c r="P1400"/>
    </row>
    <row r="1401" spans="1:16" x14ac:dyDescent="0.2">
      <c r="A1401"/>
      <c r="B1401"/>
      <c r="C1401"/>
      <c r="H1401"/>
      <c r="I1401"/>
      <c r="J1401" s="243"/>
      <c r="K1401"/>
      <c r="L1401"/>
      <c r="M1401"/>
      <c r="N1401"/>
      <c r="O1401"/>
      <c r="P1401"/>
    </row>
    <row r="1402" spans="1:16" x14ac:dyDescent="0.2">
      <c r="A1402"/>
      <c r="B1402"/>
      <c r="C1402"/>
      <c r="H1402"/>
      <c r="I1402"/>
      <c r="J1402" s="243"/>
      <c r="K1402"/>
      <c r="L1402"/>
      <c r="M1402"/>
      <c r="N1402"/>
      <c r="O1402"/>
      <c r="P1402"/>
    </row>
    <row r="1403" spans="1:16" x14ac:dyDescent="0.2">
      <c r="A1403"/>
      <c r="B1403"/>
      <c r="C1403"/>
      <c r="H1403"/>
      <c r="I1403"/>
      <c r="J1403" s="243"/>
      <c r="K1403"/>
      <c r="L1403"/>
      <c r="M1403"/>
      <c r="N1403"/>
      <c r="O1403"/>
      <c r="P1403"/>
    </row>
    <row r="1404" spans="1:16" x14ac:dyDescent="0.2">
      <c r="A1404"/>
      <c r="B1404"/>
      <c r="C1404"/>
      <c r="H1404"/>
      <c r="I1404"/>
      <c r="J1404" s="243"/>
      <c r="K1404"/>
      <c r="L1404"/>
      <c r="M1404"/>
      <c r="N1404"/>
      <c r="O1404"/>
      <c r="P1404"/>
    </row>
    <row r="1405" spans="1:16" x14ac:dyDescent="0.2">
      <c r="A1405"/>
      <c r="B1405"/>
      <c r="C1405"/>
      <c r="H1405"/>
      <c r="I1405"/>
      <c r="J1405" s="243"/>
      <c r="K1405"/>
      <c r="L1405"/>
      <c r="M1405"/>
      <c r="N1405"/>
      <c r="O1405"/>
      <c r="P1405"/>
    </row>
    <row r="1406" spans="1:16" x14ac:dyDescent="0.2">
      <c r="A1406"/>
      <c r="B1406"/>
      <c r="C1406"/>
      <c r="H1406"/>
      <c r="I1406"/>
      <c r="J1406" s="243"/>
      <c r="K1406"/>
      <c r="L1406"/>
      <c r="M1406"/>
      <c r="N1406"/>
      <c r="O1406"/>
      <c r="P1406"/>
    </row>
    <row r="1407" spans="1:16" x14ac:dyDescent="0.2">
      <c r="A1407"/>
      <c r="B1407"/>
      <c r="C1407"/>
      <c r="H1407"/>
      <c r="I1407"/>
      <c r="J1407" s="243"/>
      <c r="K1407"/>
      <c r="L1407"/>
      <c r="M1407"/>
      <c r="N1407"/>
      <c r="O1407"/>
      <c r="P1407"/>
    </row>
    <row r="1408" spans="1:16" x14ac:dyDescent="0.2">
      <c r="A1408"/>
      <c r="B1408"/>
      <c r="C1408"/>
      <c r="H1408"/>
      <c r="I1408"/>
      <c r="J1408" s="243"/>
      <c r="K1408"/>
      <c r="L1408"/>
      <c r="M1408"/>
      <c r="N1408"/>
      <c r="O1408"/>
      <c r="P1408"/>
    </row>
    <row r="1409" spans="1:16" x14ac:dyDescent="0.2">
      <c r="A1409"/>
      <c r="B1409"/>
      <c r="C1409"/>
      <c r="H1409"/>
      <c r="I1409"/>
      <c r="J1409" s="243"/>
      <c r="K1409"/>
      <c r="L1409"/>
      <c r="M1409"/>
      <c r="N1409"/>
      <c r="O1409"/>
      <c r="P1409"/>
    </row>
    <row r="1410" spans="1:16" x14ac:dyDescent="0.2">
      <c r="A1410"/>
      <c r="B1410"/>
      <c r="C1410"/>
      <c r="H1410"/>
      <c r="I1410"/>
      <c r="J1410" s="243"/>
      <c r="K1410"/>
      <c r="L1410"/>
      <c r="M1410"/>
      <c r="N1410"/>
      <c r="O1410"/>
      <c r="P1410"/>
    </row>
    <row r="1411" spans="1:16" x14ac:dyDescent="0.2">
      <c r="A1411"/>
      <c r="B1411"/>
      <c r="C1411"/>
      <c r="H1411"/>
      <c r="I1411"/>
      <c r="J1411" s="243"/>
      <c r="K1411"/>
      <c r="L1411"/>
      <c r="M1411"/>
      <c r="N1411"/>
      <c r="O1411"/>
      <c r="P1411"/>
    </row>
    <row r="1412" spans="1:16" x14ac:dyDescent="0.2">
      <c r="A1412"/>
      <c r="B1412"/>
      <c r="C1412"/>
      <c r="H1412"/>
      <c r="I1412"/>
      <c r="J1412" s="243"/>
      <c r="K1412"/>
      <c r="L1412"/>
      <c r="M1412"/>
      <c r="N1412"/>
      <c r="O1412"/>
      <c r="P1412"/>
    </row>
    <row r="1413" spans="1:16" x14ac:dyDescent="0.2">
      <c r="A1413"/>
      <c r="B1413"/>
      <c r="C1413"/>
      <c r="H1413"/>
      <c r="I1413"/>
      <c r="J1413" s="243"/>
      <c r="K1413"/>
      <c r="L1413"/>
      <c r="M1413"/>
      <c r="N1413"/>
      <c r="O1413"/>
      <c r="P1413"/>
    </row>
    <row r="1414" spans="1:16" x14ac:dyDescent="0.2">
      <c r="A1414"/>
      <c r="B1414"/>
      <c r="C1414"/>
      <c r="H1414"/>
      <c r="I1414"/>
      <c r="J1414" s="243"/>
      <c r="K1414"/>
      <c r="L1414"/>
      <c r="M1414"/>
      <c r="N1414"/>
      <c r="O1414"/>
      <c r="P1414"/>
    </row>
    <row r="1415" spans="1:16" x14ac:dyDescent="0.2">
      <c r="A1415"/>
      <c r="B1415"/>
      <c r="C1415"/>
      <c r="H1415"/>
      <c r="I1415"/>
      <c r="J1415" s="243"/>
      <c r="K1415"/>
      <c r="L1415"/>
      <c r="M1415"/>
      <c r="N1415"/>
      <c r="O1415"/>
      <c r="P1415"/>
    </row>
    <row r="1416" spans="1:16" x14ac:dyDescent="0.2">
      <c r="A1416"/>
      <c r="B1416"/>
      <c r="C1416"/>
      <c r="H1416"/>
      <c r="I1416"/>
      <c r="J1416" s="243"/>
      <c r="K1416"/>
      <c r="L1416"/>
      <c r="M1416"/>
      <c r="N1416"/>
      <c r="O1416"/>
      <c r="P1416"/>
    </row>
    <row r="1417" spans="1:16" x14ac:dyDescent="0.2">
      <c r="A1417"/>
      <c r="B1417"/>
      <c r="C1417"/>
      <c r="H1417"/>
      <c r="I1417"/>
      <c r="J1417" s="243"/>
      <c r="K1417"/>
      <c r="L1417"/>
      <c r="M1417"/>
      <c r="N1417"/>
      <c r="O1417"/>
      <c r="P1417"/>
    </row>
    <row r="1418" spans="1:16" x14ac:dyDescent="0.2">
      <c r="A1418"/>
      <c r="B1418"/>
      <c r="C1418"/>
      <c r="H1418"/>
      <c r="I1418"/>
      <c r="J1418" s="243"/>
      <c r="K1418"/>
      <c r="L1418"/>
      <c r="M1418"/>
      <c r="N1418"/>
      <c r="O1418"/>
      <c r="P1418"/>
    </row>
    <row r="1419" spans="1:16" x14ac:dyDescent="0.2">
      <c r="A1419"/>
      <c r="B1419"/>
      <c r="C1419"/>
      <c r="H1419"/>
      <c r="I1419"/>
      <c r="J1419" s="243"/>
      <c r="K1419"/>
      <c r="L1419"/>
      <c r="M1419"/>
      <c r="N1419"/>
      <c r="O1419"/>
      <c r="P1419"/>
    </row>
    <row r="1420" spans="1:16" x14ac:dyDescent="0.2">
      <c r="A1420"/>
      <c r="B1420"/>
      <c r="C1420"/>
      <c r="H1420"/>
      <c r="I1420"/>
      <c r="J1420" s="243"/>
      <c r="K1420"/>
      <c r="L1420"/>
      <c r="M1420"/>
      <c r="N1420"/>
      <c r="O1420"/>
      <c r="P1420"/>
    </row>
    <row r="1421" spans="1:16" x14ac:dyDescent="0.2">
      <c r="A1421"/>
      <c r="B1421"/>
      <c r="C1421"/>
      <c r="H1421"/>
      <c r="I1421"/>
      <c r="J1421" s="243"/>
      <c r="K1421"/>
      <c r="L1421"/>
      <c r="M1421"/>
      <c r="N1421"/>
      <c r="O1421"/>
      <c r="P1421"/>
    </row>
    <row r="1422" spans="1:16" x14ac:dyDescent="0.2">
      <c r="A1422"/>
      <c r="B1422"/>
      <c r="C1422"/>
      <c r="H1422"/>
      <c r="I1422"/>
      <c r="J1422" s="243"/>
      <c r="K1422"/>
      <c r="L1422"/>
      <c r="M1422"/>
      <c r="N1422"/>
      <c r="O1422"/>
      <c r="P1422"/>
    </row>
    <row r="1423" spans="1:16" x14ac:dyDescent="0.2">
      <c r="A1423"/>
      <c r="B1423"/>
      <c r="C1423"/>
      <c r="H1423"/>
      <c r="I1423"/>
      <c r="J1423" s="243"/>
      <c r="K1423"/>
      <c r="L1423"/>
      <c r="M1423"/>
      <c r="N1423"/>
      <c r="O1423"/>
      <c r="P1423"/>
    </row>
    <row r="1424" spans="1:16" x14ac:dyDescent="0.2">
      <c r="A1424"/>
      <c r="B1424"/>
      <c r="C1424"/>
      <c r="H1424"/>
      <c r="I1424"/>
      <c r="J1424" s="243"/>
      <c r="K1424"/>
      <c r="L1424"/>
      <c r="M1424"/>
      <c r="N1424"/>
      <c r="O1424"/>
      <c r="P1424"/>
    </row>
    <row r="1425" spans="1:16" x14ac:dyDescent="0.2">
      <c r="A1425"/>
      <c r="B1425"/>
      <c r="C1425"/>
      <c r="H1425"/>
      <c r="I1425"/>
      <c r="J1425" s="243"/>
      <c r="K1425"/>
      <c r="L1425"/>
      <c r="M1425"/>
      <c r="N1425"/>
      <c r="O1425"/>
      <c r="P1425"/>
    </row>
    <row r="1426" spans="1:16" x14ac:dyDescent="0.2">
      <c r="A1426"/>
      <c r="B1426"/>
      <c r="C1426"/>
      <c r="H1426"/>
      <c r="I1426"/>
      <c r="J1426" s="243"/>
      <c r="K1426"/>
      <c r="L1426"/>
      <c r="M1426"/>
      <c r="N1426"/>
      <c r="O1426"/>
      <c r="P1426"/>
    </row>
    <row r="1427" spans="1:16" x14ac:dyDescent="0.2">
      <c r="A1427"/>
      <c r="B1427"/>
      <c r="C1427"/>
      <c r="H1427"/>
      <c r="I1427"/>
      <c r="J1427" s="243"/>
      <c r="K1427"/>
      <c r="L1427"/>
      <c r="M1427"/>
      <c r="N1427"/>
      <c r="O1427"/>
      <c r="P1427"/>
    </row>
    <row r="1428" spans="1:16" x14ac:dyDescent="0.2">
      <c r="A1428"/>
      <c r="B1428"/>
      <c r="C1428"/>
      <c r="H1428"/>
      <c r="I1428"/>
      <c r="J1428" s="243"/>
      <c r="K1428"/>
      <c r="L1428"/>
      <c r="M1428"/>
      <c r="N1428"/>
      <c r="O1428"/>
      <c r="P1428"/>
    </row>
    <row r="1429" spans="1:16" x14ac:dyDescent="0.2">
      <c r="A1429"/>
      <c r="B1429"/>
      <c r="C1429"/>
      <c r="H1429"/>
      <c r="I1429"/>
      <c r="J1429" s="243"/>
      <c r="K1429"/>
      <c r="L1429"/>
      <c r="M1429"/>
      <c r="N1429"/>
      <c r="O1429"/>
      <c r="P1429"/>
    </row>
    <row r="1430" spans="1:16" x14ac:dyDescent="0.2">
      <c r="A1430"/>
      <c r="B1430"/>
      <c r="C1430"/>
      <c r="H1430"/>
      <c r="I1430"/>
      <c r="J1430" s="243"/>
      <c r="K1430"/>
      <c r="L1430"/>
      <c r="M1430"/>
      <c r="N1430"/>
      <c r="O1430"/>
      <c r="P1430"/>
    </row>
    <row r="1431" spans="1:16" x14ac:dyDescent="0.2">
      <c r="A1431"/>
      <c r="B1431"/>
      <c r="C1431"/>
      <c r="H1431"/>
      <c r="I1431"/>
      <c r="J1431" s="243"/>
      <c r="K1431"/>
      <c r="L1431"/>
      <c r="M1431"/>
      <c r="N1431"/>
      <c r="O1431"/>
      <c r="P1431"/>
    </row>
    <row r="1432" spans="1:16" x14ac:dyDescent="0.2">
      <c r="A1432"/>
      <c r="B1432"/>
      <c r="C1432"/>
      <c r="H1432"/>
      <c r="I1432"/>
      <c r="J1432" s="243"/>
      <c r="K1432"/>
      <c r="L1432"/>
      <c r="M1432"/>
      <c r="N1432"/>
      <c r="O1432"/>
      <c r="P1432"/>
    </row>
    <row r="1433" spans="1:16" x14ac:dyDescent="0.2">
      <c r="A1433"/>
      <c r="B1433"/>
      <c r="C1433"/>
      <c r="H1433"/>
      <c r="I1433"/>
      <c r="J1433" s="243"/>
      <c r="K1433"/>
      <c r="L1433"/>
      <c r="M1433"/>
      <c r="N1433"/>
      <c r="O1433"/>
      <c r="P1433"/>
    </row>
    <row r="1434" spans="1:16" x14ac:dyDescent="0.2">
      <c r="A1434"/>
      <c r="B1434"/>
      <c r="C1434"/>
      <c r="H1434"/>
      <c r="I1434"/>
      <c r="J1434" s="243"/>
      <c r="K1434"/>
      <c r="L1434"/>
      <c r="M1434"/>
      <c r="N1434"/>
      <c r="O1434"/>
      <c r="P1434"/>
    </row>
    <row r="1435" spans="1:16" x14ac:dyDescent="0.2">
      <c r="A1435"/>
      <c r="B1435"/>
      <c r="C1435"/>
      <c r="H1435"/>
      <c r="I1435"/>
      <c r="J1435" s="243"/>
      <c r="K1435"/>
      <c r="L1435"/>
      <c r="M1435"/>
      <c r="N1435"/>
      <c r="O1435"/>
      <c r="P1435"/>
    </row>
    <row r="1436" spans="1:16" x14ac:dyDescent="0.2">
      <c r="A1436"/>
      <c r="B1436"/>
      <c r="C1436"/>
      <c r="H1436"/>
      <c r="I1436"/>
      <c r="J1436" s="243"/>
      <c r="K1436"/>
      <c r="L1436"/>
      <c r="M1436"/>
      <c r="N1436"/>
      <c r="O1436"/>
      <c r="P1436"/>
    </row>
    <row r="1437" spans="1:16" x14ac:dyDescent="0.2">
      <c r="A1437"/>
      <c r="B1437"/>
      <c r="C1437"/>
      <c r="H1437"/>
      <c r="I1437"/>
      <c r="J1437" s="243"/>
      <c r="K1437"/>
      <c r="L1437"/>
      <c r="M1437"/>
      <c r="N1437"/>
      <c r="O1437"/>
      <c r="P1437"/>
    </row>
    <row r="1438" spans="1:16" x14ac:dyDescent="0.2">
      <c r="A1438"/>
      <c r="B1438"/>
      <c r="C1438"/>
      <c r="H1438"/>
      <c r="I1438"/>
      <c r="J1438" s="243"/>
      <c r="K1438"/>
      <c r="L1438"/>
      <c r="M1438"/>
      <c r="N1438"/>
      <c r="O1438"/>
      <c r="P1438"/>
    </row>
    <row r="1439" spans="1:16" x14ac:dyDescent="0.2">
      <c r="A1439"/>
      <c r="B1439"/>
      <c r="C1439"/>
      <c r="H1439"/>
      <c r="I1439"/>
      <c r="J1439" s="243"/>
      <c r="K1439"/>
      <c r="L1439"/>
      <c r="M1439"/>
      <c r="N1439"/>
      <c r="O1439"/>
      <c r="P1439"/>
    </row>
    <row r="1440" spans="1:16" x14ac:dyDescent="0.2">
      <c r="A1440"/>
      <c r="B1440"/>
      <c r="C1440"/>
      <c r="H1440"/>
      <c r="I1440"/>
      <c r="J1440" s="243"/>
      <c r="K1440"/>
      <c r="L1440"/>
      <c r="M1440"/>
      <c r="N1440"/>
      <c r="O1440"/>
      <c r="P1440"/>
    </row>
    <row r="1441" spans="1:16" x14ac:dyDescent="0.2">
      <c r="A1441"/>
      <c r="B1441"/>
      <c r="C1441"/>
      <c r="H1441"/>
      <c r="I1441"/>
      <c r="J1441" s="243"/>
      <c r="K1441"/>
      <c r="L1441"/>
      <c r="M1441"/>
      <c r="N1441"/>
      <c r="O1441"/>
      <c r="P1441"/>
    </row>
    <row r="1442" spans="1:16" x14ac:dyDescent="0.2">
      <c r="A1442"/>
      <c r="B1442"/>
      <c r="C1442"/>
      <c r="H1442"/>
      <c r="I1442"/>
      <c r="J1442" s="243"/>
      <c r="K1442"/>
      <c r="L1442"/>
      <c r="M1442"/>
      <c r="N1442"/>
      <c r="O1442"/>
      <c r="P1442"/>
    </row>
    <row r="1443" spans="1:16" x14ac:dyDescent="0.2">
      <c r="A1443"/>
      <c r="B1443"/>
      <c r="C1443"/>
      <c r="H1443"/>
      <c r="I1443"/>
      <c r="J1443" s="243"/>
      <c r="K1443"/>
      <c r="L1443"/>
      <c r="M1443"/>
      <c r="N1443"/>
      <c r="O1443"/>
      <c r="P1443"/>
    </row>
    <row r="1444" spans="1:16" x14ac:dyDescent="0.2">
      <c r="A1444"/>
      <c r="B1444"/>
      <c r="C1444"/>
      <c r="H1444"/>
      <c r="I1444"/>
      <c r="J1444" s="243"/>
      <c r="K1444"/>
      <c r="L1444"/>
      <c r="M1444"/>
      <c r="N1444"/>
      <c r="O1444"/>
      <c r="P1444"/>
    </row>
    <row r="1445" spans="1:16" x14ac:dyDescent="0.2">
      <c r="A1445"/>
      <c r="B1445"/>
      <c r="C1445"/>
      <c r="H1445"/>
      <c r="I1445"/>
      <c r="J1445" s="243"/>
      <c r="K1445"/>
      <c r="L1445"/>
      <c r="M1445"/>
      <c r="N1445"/>
      <c r="O1445"/>
      <c r="P1445"/>
    </row>
    <row r="1446" spans="1:16" x14ac:dyDescent="0.2">
      <c r="A1446"/>
      <c r="B1446"/>
      <c r="C1446"/>
      <c r="H1446"/>
      <c r="I1446"/>
      <c r="J1446" s="243"/>
      <c r="K1446"/>
      <c r="L1446"/>
      <c r="M1446"/>
      <c r="N1446"/>
      <c r="O1446"/>
      <c r="P1446"/>
    </row>
    <row r="1447" spans="1:16" x14ac:dyDescent="0.2">
      <c r="A1447"/>
      <c r="B1447"/>
      <c r="C1447"/>
      <c r="H1447"/>
      <c r="I1447"/>
      <c r="J1447" s="243"/>
      <c r="K1447"/>
      <c r="L1447"/>
      <c r="M1447"/>
      <c r="N1447"/>
      <c r="O1447"/>
      <c r="P1447"/>
    </row>
    <row r="1448" spans="1:16" x14ac:dyDescent="0.2">
      <c r="A1448"/>
      <c r="B1448"/>
      <c r="C1448"/>
      <c r="H1448"/>
      <c r="I1448"/>
      <c r="J1448" s="243"/>
      <c r="K1448"/>
      <c r="L1448"/>
      <c r="M1448"/>
      <c r="N1448"/>
      <c r="O1448"/>
      <c r="P1448"/>
    </row>
    <row r="1449" spans="1:16" x14ac:dyDescent="0.2">
      <c r="A1449"/>
      <c r="B1449"/>
      <c r="C1449"/>
      <c r="H1449"/>
      <c r="I1449"/>
      <c r="J1449" s="243"/>
      <c r="K1449"/>
      <c r="L1449"/>
      <c r="M1449"/>
      <c r="N1449"/>
      <c r="O1449"/>
      <c r="P1449"/>
    </row>
    <row r="1450" spans="1:16" x14ac:dyDescent="0.2">
      <c r="A1450"/>
      <c r="B1450"/>
      <c r="C1450"/>
      <c r="H1450"/>
      <c r="I1450"/>
      <c r="J1450" s="243"/>
      <c r="K1450"/>
      <c r="L1450"/>
      <c r="M1450"/>
      <c r="N1450"/>
      <c r="O1450"/>
      <c r="P1450"/>
    </row>
    <row r="1451" spans="1:16" x14ac:dyDescent="0.2">
      <c r="A1451"/>
      <c r="B1451"/>
      <c r="C1451"/>
      <c r="H1451"/>
      <c r="I1451"/>
      <c r="J1451" s="243"/>
      <c r="K1451"/>
      <c r="L1451"/>
      <c r="M1451"/>
      <c r="N1451"/>
      <c r="O1451"/>
      <c r="P1451"/>
    </row>
    <row r="1452" spans="1:16" x14ac:dyDescent="0.2">
      <c r="A1452"/>
      <c r="B1452"/>
      <c r="C1452"/>
      <c r="H1452"/>
      <c r="I1452"/>
      <c r="J1452" s="243"/>
      <c r="K1452"/>
      <c r="L1452"/>
      <c r="M1452"/>
      <c r="N1452"/>
      <c r="O1452"/>
      <c r="P1452"/>
    </row>
    <row r="1453" spans="1:16" x14ac:dyDescent="0.2">
      <c r="A1453"/>
      <c r="B1453"/>
      <c r="C1453"/>
      <c r="H1453"/>
      <c r="I1453"/>
      <c r="J1453" s="243"/>
      <c r="K1453"/>
      <c r="L1453"/>
      <c r="M1453"/>
      <c r="N1453"/>
      <c r="O1453"/>
      <c r="P1453"/>
    </row>
    <row r="1454" spans="1:16" x14ac:dyDescent="0.2">
      <c r="A1454"/>
      <c r="B1454"/>
      <c r="C1454"/>
      <c r="H1454"/>
      <c r="I1454"/>
      <c r="J1454" s="243"/>
      <c r="K1454"/>
      <c r="L1454"/>
      <c r="M1454"/>
      <c r="N1454"/>
      <c r="O1454"/>
      <c r="P1454"/>
    </row>
    <row r="1455" spans="1:16" x14ac:dyDescent="0.2">
      <c r="A1455"/>
      <c r="B1455"/>
      <c r="C1455"/>
      <c r="H1455"/>
      <c r="I1455"/>
      <c r="J1455" s="243"/>
      <c r="K1455"/>
      <c r="L1455"/>
      <c r="M1455"/>
      <c r="N1455"/>
      <c r="O1455"/>
      <c r="P1455"/>
    </row>
    <row r="1456" spans="1:16" x14ac:dyDescent="0.2">
      <c r="A1456"/>
      <c r="B1456"/>
      <c r="C1456"/>
      <c r="H1456"/>
      <c r="I1456"/>
      <c r="J1456" s="243"/>
      <c r="K1456"/>
      <c r="L1456"/>
      <c r="M1456"/>
      <c r="N1456"/>
      <c r="O1456"/>
      <c r="P1456"/>
    </row>
    <row r="1457" spans="1:16" x14ac:dyDescent="0.2">
      <c r="A1457"/>
      <c r="B1457"/>
      <c r="C1457"/>
      <c r="H1457"/>
      <c r="I1457"/>
      <c r="J1457" s="243"/>
      <c r="K1457"/>
      <c r="L1457"/>
      <c r="M1457"/>
      <c r="N1457"/>
      <c r="O1457"/>
      <c r="P1457"/>
    </row>
    <row r="1458" spans="1:16" x14ac:dyDescent="0.2">
      <c r="A1458"/>
      <c r="B1458"/>
      <c r="C1458"/>
      <c r="H1458"/>
      <c r="I1458"/>
      <c r="J1458" s="243"/>
      <c r="K1458"/>
      <c r="L1458"/>
      <c r="M1458"/>
      <c r="N1458"/>
      <c r="O1458"/>
      <c r="P1458"/>
    </row>
    <row r="1459" spans="1:16" x14ac:dyDescent="0.2">
      <c r="A1459"/>
      <c r="B1459"/>
      <c r="C1459"/>
      <c r="H1459"/>
      <c r="I1459"/>
      <c r="J1459" s="243"/>
      <c r="K1459"/>
      <c r="L1459"/>
      <c r="M1459"/>
      <c r="N1459"/>
      <c r="O1459"/>
      <c r="P1459"/>
    </row>
    <row r="1460" spans="1:16" x14ac:dyDescent="0.2">
      <c r="A1460"/>
      <c r="B1460"/>
      <c r="C1460"/>
      <c r="H1460"/>
      <c r="I1460"/>
      <c r="J1460" s="243"/>
      <c r="K1460"/>
      <c r="L1460"/>
      <c r="M1460"/>
      <c r="N1460"/>
      <c r="O1460"/>
      <c r="P1460"/>
    </row>
    <row r="1461" spans="1:16" x14ac:dyDescent="0.2">
      <c r="A1461"/>
      <c r="B1461"/>
      <c r="C1461"/>
      <c r="H1461"/>
      <c r="I1461"/>
      <c r="J1461" s="243"/>
      <c r="K1461"/>
      <c r="L1461"/>
      <c r="M1461"/>
      <c r="N1461"/>
      <c r="O1461"/>
      <c r="P1461"/>
    </row>
    <row r="1462" spans="1:16" x14ac:dyDescent="0.2">
      <c r="A1462"/>
      <c r="B1462"/>
      <c r="C1462"/>
      <c r="H1462"/>
      <c r="I1462"/>
      <c r="J1462" s="243"/>
      <c r="K1462"/>
      <c r="L1462"/>
      <c r="M1462"/>
      <c r="N1462"/>
      <c r="O1462"/>
      <c r="P1462"/>
    </row>
    <row r="1463" spans="1:16" x14ac:dyDescent="0.2">
      <c r="A1463"/>
      <c r="B1463"/>
      <c r="C1463"/>
      <c r="H1463"/>
      <c r="I1463"/>
      <c r="J1463" s="243"/>
      <c r="K1463"/>
      <c r="L1463"/>
      <c r="M1463"/>
      <c r="N1463"/>
      <c r="O1463"/>
      <c r="P1463"/>
    </row>
    <row r="1464" spans="1:16" x14ac:dyDescent="0.2">
      <c r="A1464"/>
      <c r="B1464"/>
      <c r="C1464"/>
      <c r="H1464"/>
      <c r="I1464"/>
      <c r="J1464" s="243"/>
      <c r="K1464"/>
      <c r="L1464"/>
      <c r="M1464"/>
      <c r="N1464"/>
      <c r="O1464"/>
      <c r="P1464"/>
    </row>
    <row r="1465" spans="1:16" x14ac:dyDescent="0.2">
      <c r="A1465"/>
      <c r="B1465"/>
      <c r="C1465"/>
      <c r="H1465"/>
      <c r="I1465"/>
      <c r="J1465" s="243"/>
      <c r="K1465"/>
      <c r="L1465"/>
      <c r="M1465"/>
      <c r="N1465"/>
      <c r="O1465"/>
      <c r="P1465"/>
    </row>
    <row r="1466" spans="1:16" x14ac:dyDescent="0.2">
      <c r="A1466"/>
      <c r="B1466"/>
      <c r="C1466"/>
      <c r="H1466"/>
      <c r="I1466"/>
      <c r="J1466" s="243"/>
      <c r="K1466"/>
      <c r="L1466"/>
      <c r="M1466"/>
      <c r="N1466"/>
      <c r="O1466"/>
      <c r="P1466"/>
    </row>
    <row r="1467" spans="1:16" x14ac:dyDescent="0.2">
      <c r="A1467"/>
      <c r="B1467"/>
      <c r="C1467"/>
      <c r="H1467"/>
      <c r="I1467"/>
      <c r="J1467" s="243"/>
      <c r="K1467"/>
      <c r="L1467"/>
      <c r="M1467"/>
      <c r="N1467"/>
      <c r="O1467"/>
      <c r="P1467"/>
    </row>
    <row r="1468" spans="1:16" x14ac:dyDescent="0.2">
      <c r="A1468"/>
      <c r="B1468"/>
      <c r="C1468"/>
      <c r="H1468"/>
      <c r="I1468"/>
      <c r="J1468" s="243"/>
      <c r="K1468"/>
      <c r="L1468"/>
      <c r="M1468"/>
      <c r="N1468"/>
      <c r="O1468"/>
      <c r="P1468"/>
    </row>
    <row r="1469" spans="1:16" x14ac:dyDescent="0.2">
      <c r="A1469"/>
      <c r="B1469"/>
      <c r="C1469"/>
      <c r="H1469"/>
      <c r="I1469"/>
      <c r="J1469" s="243"/>
      <c r="K1469"/>
      <c r="L1469"/>
      <c r="M1469"/>
      <c r="N1469"/>
      <c r="O1469"/>
      <c r="P1469"/>
    </row>
    <row r="1470" spans="1:16" x14ac:dyDescent="0.2">
      <c r="A1470"/>
      <c r="B1470"/>
      <c r="C1470"/>
      <c r="H1470"/>
      <c r="I1470"/>
      <c r="J1470" s="243"/>
      <c r="K1470"/>
      <c r="L1470"/>
      <c r="M1470"/>
      <c r="N1470"/>
      <c r="O1470"/>
      <c r="P1470"/>
    </row>
    <row r="1471" spans="1:16" x14ac:dyDescent="0.2">
      <c r="A1471"/>
      <c r="B1471"/>
      <c r="C1471"/>
      <c r="H1471"/>
      <c r="I1471"/>
      <c r="J1471" s="243"/>
      <c r="K1471"/>
      <c r="L1471"/>
      <c r="M1471"/>
      <c r="N1471"/>
      <c r="O1471"/>
      <c r="P1471"/>
    </row>
    <row r="1472" spans="1:16" x14ac:dyDescent="0.2">
      <c r="A1472"/>
      <c r="B1472"/>
      <c r="C1472"/>
      <c r="H1472"/>
      <c r="I1472"/>
      <c r="J1472" s="243"/>
      <c r="K1472"/>
      <c r="L1472"/>
      <c r="M1472"/>
      <c r="N1472"/>
      <c r="O1472"/>
      <c r="P1472"/>
    </row>
    <row r="1473" spans="1:16" x14ac:dyDescent="0.2">
      <c r="A1473"/>
      <c r="B1473"/>
      <c r="C1473"/>
      <c r="H1473"/>
      <c r="I1473"/>
      <c r="J1473" s="243"/>
      <c r="K1473"/>
      <c r="L1473"/>
      <c r="M1473"/>
      <c r="N1473"/>
      <c r="O1473"/>
      <c r="P1473"/>
    </row>
    <row r="1474" spans="1:16" x14ac:dyDescent="0.2">
      <c r="A1474"/>
      <c r="B1474"/>
      <c r="C1474"/>
      <c r="H1474"/>
      <c r="I1474"/>
      <c r="J1474" s="243"/>
      <c r="K1474"/>
      <c r="L1474"/>
      <c r="M1474"/>
      <c r="N1474"/>
      <c r="O1474"/>
      <c r="P1474"/>
    </row>
    <row r="1475" spans="1:16" x14ac:dyDescent="0.2">
      <c r="A1475"/>
      <c r="B1475"/>
      <c r="C1475"/>
      <c r="H1475"/>
      <c r="I1475"/>
      <c r="J1475" s="243"/>
      <c r="K1475"/>
      <c r="L1475"/>
      <c r="M1475"/>
      <c r="N1475"/>
      <c r="O1475"/>
      <c r="P1475"/>
    </row>
    <row r="1476" spans="1:16" x14ac:dyDescent="0.2">
      <c r="A1476"/>
      <c r="B1476"/>
      <c r="C1476"/>
      <c r="H1476"/>
      <c r="I1476"/>
      <c r="J1476" s="243"/>
      <c r="K1476"/>
      <c r="L1476"/>
      <c r="M1476"/>
      <c r="N1476"/>
      <c r="O1476"/>
      <c r="P1476"/>
    </row>
    <row r="1477" spans="1:16" x14ac:dyDescent="0.2">
      <c r="A1477"/>
      <c r="B1477"/>
      <c r="C1477"/>
      <c r="H1477"/>
      <c r="I1477"/>
      <c r="J1477" s="243"/>
      <c r="K1477"/>
      <c r="L1477"/>
      <c r="M1477"/>
      <c r="N1477"/>
      <c r="O1477"/>
      <c r="P1477"/>
    </row>
    <row r="1478" spans="1:16" x14ac:dyDescent="0.2">
      <c r="A1478"/>
      <c r="B1478"/>
      <c r="C1478"/>
      <c r="H1478"/>
      <c r="I1478"/>
      <c r="J1478" s="243"/>
      <c r="K1478"/>
      <c r="L1478"/>
      <c r="M1478"/>
      <c r="N1478"/>
      <c r="O1478"/>
      <c r="P1478"/>
    </row>
    <row r="1479" spans="1:16" x14ac:dyDescent="0.2">
      <c r="A1479"/>
      <c r="B1479"/>
      <c r="C1479"/>
      <c r="H1479"/>
      <c r="I1479"/>
      <c r="J1479" s="243"/>
      <c r="K1479"/>
      <c r="L1479"/>
      <c r="M1479"/>
      <c r="N1479"/>
      <c r="O1479"/>
      <c r="P1479"/>
    </row>
    <row r="1480" spans="1:16" x14ac:dyDescent="0.2">
      <c r="A1480"/>
      <c r="B1480"/>
      <c r="C1480"/>
      <c r="H1480"/>
      <c r="I1480"/>
      <c r="J1480" s="243"/>
      <c r="K1480"/>
      <c r="L1480"/>
      <c r="M1480"/>
      <c r="N1480"/>
      <c r="O1480"/>
      <c r="P1480"/>
    </row>
    <row r="1481" spans="1:16" x14ac:dyDescent="0.2">
      <c r="A1481"/>
      <c r="B1481"/>
      <c r="C1481"/>
      <c r="H1481"/>
      <c r="I1481"/>
      <c r="J1481" s="243"/>
      <c r="K1481"/>
      <c r="L1481"/>
      <c r="M1481"/>
      <c r="N1481"/>
      <c r="O1481"/>
      <c r="P1481"/>
    </row>
    <row r="1482" spans="1:16" x14ac:dyDescent="0.2">
      <c r="A1482"/>
      <c r="B1482"/>
      <c r="C1482"/>
      <c r="H1482"/>
      <c r="I1482"/>
      <c r="J1482" s="243"/>
      <c r="K1482"/>
      <c r="L1482"/>
      <c r="M1482"/>
      <c r="N1482"/>
      <c r="O1482"/>
      <c r="P1482"/>
    </row>
    <row r="1483" spans="1:16" x14ac:dyDescent="0.2">
      <c r="A1483"/>
      <c r="B1483"/>
      <c r="C1483"/>
      <c r="H1483"/>
      <c r="I1483"/>
      <c r="J1483" s="243"/>
      <c r="K1483"/>
      <c r="L1483"/>
      <c r="M1483"/>
      <c r="N1483"/>
      <c r="O1483"/>
      <c r="P1483"/>
    </row>
    <row r="1484" spans="1:16" x14ac:dyDescent="0.2">
      <c r="A1484"/>
      <c r="B1484"/>
      <c r="C1484"/>
      <c r="H1484"/>
      <c r="I1484"/>
      <c r="J1484" s="243"/>
      <c r="K1484"/>
      <c r="L1484"/>
      <c r="M1484"/>
      <c r="N1484"/>
      <c r="O1484"/>
      <c r="P1484"/>
    </row>
    <row r="1485" spans="1:16" x14ac:dyDescent="0.2">
      <c r="A1485"/>
      <c r="B1485"/>
      <c r="C1485"/>
      <c r="H1485"/>
      <c r="I1485"/>
      <c r="J1485" s="243"/>
      <c r="K1485"/>
      <c r="L1485"/>
      <c r="M1485"/>
      <c r="N1485"/>
      <c r="O1485"/>
      <c r="P1485"/>
    </row>
    <row r="1486" spans="1:16" x14ac:dyDescent="0.2">
      <c r="A1486"/>
      <c r="B1486"/>
      <c r="C1486"/>
      <c r="H1486"/>
      <c r="I1486"/>
      <c r="J1486" s="243"/>
      <c r="K1486"/>
      <c r="L1486"/>
      <c r="M1486"/>
      <c r="N1486"/>
      <c r="O1486"/>
      <c r="P1486"/>
    </row>
    <row r="1487" spans="1:16" x14ac:dyDescent="0.2">
      <c r="A1487"/>
      <c r="B1487"/>
      <c r="C1487"/>
      <c r="H1487"/>
      <c r="I1487"/>
      <c r="J1487" s="243"/>
      <c r="K1487"/>
      <c r="L1487"/>
      <c r="M1487"/>
      <c r="N1487"/>
      <c r="O1487"/>
      <c r="P1487"/>
    </row>
    <row r="1488" spans="1:16" x14ac:dyDescent="0.2">
      <c r="A1488"/>
      <c r="B1488"/>
      <c r="C1488"/>
      <c r="H1488"/>
      <c r="I1488"/>
      <c r="J1488" s="243"/>
      <c r="K1488"/>
      <c r="L1488"/>
      <c r="M1488"/>
      <c r="N1488"/>
      <c r="O1488"/>
      <c r="P1488"/>
    </row>
    <row r="1489" spans="1:16" x14ac:dyDescent="0.2">
      <c r="A1489"/>
      <c r="B1489"/>
      <c r="C1489"/>
      <c r="H1489"/>
      <c r="I1489"/>
      <c r="J1489" s="243"/>
      <c r="K1489"/>
      <c r="L1489"/>
      <c r="M1489"/>
      <c r="N1489"/>
      <c r="O1489"/>
      <c r="P1489"/>
    </row>
    <row r="1490" spans="1:16" x14ac:dyDescent="0.2">
      <c r="A1490"/>
      <c r="B1490"/>
      <c r="C1490"/>
      <c r="H1490"/>
      <c r="I1490"/>
      <c r="J1490" s="243"/>
      <c r="K1490"/>
      <c r="L1490"/>
      <c r="M1490"/>
      <c r="N1490"/>
      <c r="O1490"/>
      <c r="P1490"/>
    </row>
    <row r="1491" spans="1:16" x14ac:dyDescent="0.2">
      <c r="A1491"/>
      <c r="B1491"/>
      <c r="C1491"/>
      <c r="H1491"/>
      <c r="I1491"/>
      <c r="J1491" s="243"/>
      <c r="K1491"/>
      <c r="L1491"/>
      <c r="M1491"/>
      <c r="N1491"/>
      <c r="O1491"/>
      <c r="P1491"/>
    </row>
    <row r="1492" spans="1:16" x14ac:dyDescent="0.2">
      <c r="A1492"/>
      <c r="B1492"/>
      <c r="C1492"/>
      <c r="H1492"/>
      <c r="I1492"/>
      <c r="J1492" s="243"/>
      <c r="K1492"/>
      <c r="L1492"/>
      <c r="M1492"/>
      <c r="N1492"/>
      <c r="O1492"/>
      <c r="P1492"/>
    </row>
    <row r="1493" spans="1:16" x14ac:dyDescent="0.2">
      <c r="A1493"/>
      <c r="B1493"/>
      <c r="C1493"/>
      <c r="H1493"/>
      <c r="I1493"/>
      <c r="J1493" s="243"/>
      <c r="K1493"/>
      <c r="L1493"/>
      <c r="M1493"/>
      <c r="N1493"/>
      <c r="O1493"/>
      <c r="P1493"/>
    </row>
    <row r="1494" spans="1:16" x14ac:dyDescent="0.2">
      <c r="A1494"/>
      <c r="B1494"/>
      <c r="C1494"/>
      <c r="H1494"/>
      <c r="I1494"/>
      <c r="J1494" s="243"/>
      <c r="K1494"/>
      <c r="L1494"/>
      <c r="M1494"/>
      <c r="N1494"/>
      <c r="O1494"/>
      <c r="P1494"/>
    </row>
    <row r="1495" spans="1:16" x14ac:dyDescent="0.2">
      <c r="A1495"/>
      <c r="B1495"/>
      <c r="C1495"/>
      <c r="H1495"/>
      <c r="I1495"/>
      <c r="J1495" s="243"/>
      <c r="K1495"/>
      <c r="L1495"/>
      <c r="M1495"/>
      <c r="N1495"/>
      <c r="O1495"/>
      <c r="P1495"/>
    </row>
    <row r="1496" spans="1:16" x14ac:dyDescent="0.2">
      <c r="A1496"/>
      <c r="B1496"/>
      <c r="C1496"/>
      <c r="H1496"/>
      <c r="I1496"/>
      <c r="J1496" s="243"/>
      <c r="K1496"/>
      <c r="L1496"/>
      <c r="M1496"/>
      <c r="N1496"/>
      <c r="O1496"/>
      <c r="P1496"/>
    </row>
    <row r="1497" spans="1:16" x14ac:dyDescent="0.2">
      <c r="A1497"/>
      <c r="B1497"/>
      <c r="C1497"/>
      <c r="H1497"/>
      <c r="I1497"/>
      <c r="J1497" s="243"/>
      <c r="K1497"/>
      <c r="L1497"/>
      <c r="M1497"/>
      <c r="N1497"/>
      <c r="O1497"/>
      <c r="P1497"/>
    </row>
    <row r="1498" spans="1:16" x14ac:dyDescent="0.2">
      <c r="A1498"/>
      <c r="B1498"/>
      <c r="C1498"/>
      <c r="H1498"/>
      <c r="I1498"/>
      <c r="J1498" s="243"/>
      <c r="K1498"/>
      <c r="L1498"/>
      <c r="M1498"/>
      <c r="N1498"/>
      <c r="O1498"/>
      <c r="P1498"/>
    </row>
    <row r="1499" spans="1:16" x14ac:dyDescent="0.2">
      <c r="A1499"/>
      <c r="B1499"/>
      <c r="C1499"/>
      <c r="H1499"/>
      <c r="I1499"/>
      <c r="J1499" s="243"/>
      <c r="K1499"/>
      <c r="L1499"/>
      <c r="M1499"/>
      <c r="N1499"/>
      <c r="O1499"/>
      <c r="P1499"/>
    </row>
    <row r="1500" spans="1:16" x14ac:dyDescent="0.2">
      <c r="A1500"/>
      <c r="B1500"/>
      <c r="C1500"/>
      <c r="H1500"/>
      <c r="I1500"/>
      <c r="J1500" s="243"/>
      <c r="K1500"/>
      <c r="L1500"/>
      <c r="M1500"/>
      <c r="N1500"/>
      <c r="O1500"/>
      <c r="P1500"/>
    </row>
    <row r="1501" spans="1:16" x14ac:dyDescent="0.2">
      <c r="A1501"/>
      <c r="B1501"/>
      <c r="C1501"/>
      <c r="H1501"/>
      <c r="I1501"/>
      <c r="J1501" s="243"/>
      <c r="K1501"/>
      <c r="L1501"/>
      <c r="M1501"/>
      <c r="N1501"/>
      <c r="O1501"/>
      <c r="P1501"/>
    </row>
    <row r="1502" spans="1:16" x14ac:dyDescent="0.2">
      <c r="A1502"/>
      <c r="B1502"/>
      <c r="C1502"/>
      <c r="H1502"/>
      <c r="I1502"/>
      <c r="J1502" s="243"/>
      <c r="K1502"/>
      <c r="L1502"/>
      <c r="M1502"/>
      <c r="N1502"/>
      <c r="O1502"/>
      <c r="P1502"/>
    </row>
    <row r="1503" spans="1:16" x14ac:dyDescent="0.2">
      <c r="A1503"/>
      <c r="B1503"/>
      <c r="C1503"/>
      <c r="H1503"/>
      <c r="I1503"/>
      <c r="J1503" s="243"/>
      <c r="K1503"/>
      <c r="L1503"/>
      <c r="M1503"/>
      <c r="N1503"/>
      <c r="O1503"/>
      <c r="P1503"/>
    </row>
    <row r="1504" spans="1:16" x14ac:dyDescent="0.2">
      <c r="A1504"/>
      <c r="B1504"/>
      <c r="C1504"/>
      <c r="H1504"/>
      <c r="I1504"/>
      <c r="J1504" s="243"/>
      <c r="K1504"/>
      <c r="L1504"/>
      <c r="M1504"/>
      <c r="N1504"/>
      <c r="O1504"/>
      <c r="P1504"/>
    </row>
    <row r="1505" spans="1:16" x14ac:dyDescent="0.2">
      <c r="A1505"/>
      <c r="B1505"/>
      <c r="C1505"/>
      <c r="H1505"/>
      <c r="I1505"/>
      <c r="J1505" s="243"/>
      <c r="K1505"/>
      <c r="L1505"/>
      <c r="M1505"/>
      <c r="N1505"/>
      <c r="O1505"/>
      <c r="P1505"/>
    </row>
    <row r="1506" spans="1:16" x14ac:dyDescent="0.2">
      <c r="A1506"/>
      <c r="B1506"/>
      <c r="C1506"/>
      <c r="H1506"/>
      <c r="I1506"/>
      <c r="J1506" s="243"/>
      <c r="K1506"/>
      <c r="L1506"/>
      <c r="M1506"/>
      <c r="N1506"/>
      <c r="O1506"/>
      <c r="P1506"/>
    </row>
    <row r="1507" spans="1:16" x14ac:dyDescent="0.2">
      <c r="A1507"/>
      <c r="B1507"/>
      <c r="C1507"/>
      <c r="H1507"/>
      <c r="I1507"/>
      <c r="J1507" s="243"/>
      <c r="K1507"/>
      <c r="L1507"/>
      <c r="M1507"/>
      <c r="N1507"/>
      <c r="O1507"/>
      <c r="P1507"/>
    </row>
    <row r="1508" spans="1:16" x14ac:dyDescent="0.2">
      <c r="A1508"/>
      <c r="B1508"/>
      <c r="C1508"/>
      <c r="H1508"/>
      <c r="I1508"/>
      <c r="J1508" s="243"/>
      <c r="K1508"/>
      <c r="L1508"/>
      <c r="M1508"/>
      <c r="N1508"/>
      <c r="O1508"/>
      <c r="P1508"/>
    </row>
    <row r="1509" spans="1:16" x14ac:dyDescent="0.2">
      <c r="A1509"/>
      <c r="B1509"/>
      <c r="C1509"/>
      <c r="H1509"/>
      <c r="I1509"/>
      <c r="J1509" s="243"/>
      <c r="K1509"/>
      <c r="L1509"/>
      <c r="M1509"/>
      <c r="N1509"/>
      <c r="O1509"/>
      <c r="P1509"/>
    </row>
    <row r="1510" spans="1:16" x14ac:dyDescent="0.2">
      <c r="A1510"/>
      <c r="B1510"/>
      <c r="C1510"/>
      <c r="H1510"/>
      <c r="I1510"/>
      <c r="J1510" s="243"/>
      <c r="K1510"/>
      <c r="L1510"/>
      <c r="M1510"/>
      <c r="N1510"/>
      <c r="O1510"/>
      <c r="P1510"/>
    </row>
    <row r="1511" spans="1:16" x14ac:dyDescent="0.2">
      <c r="A1511"/>
      <c r="B1511"/>
      <c r="C1511"/>
      <c r="H1511"/>
      <c r="I1511"/>
      <c r="J1511" s="243"/>
      <c r="K1511"/>
      <c r="L1511"/>
      <c r="M1511"/>
      <c r="N1511"/>
      <c r="O1511"/>
      <c r="P1511"/>
    </row>
    <row r="1512" spans="1:16" x14ac:dyDescent="0.2">
      <c r="A1512"/>
      <c r="B1512"/>
      <c r="C1512"/>
      <c r="H1512"/>
      <c r="I1512"/>
      <c r="J1512" s="243"/>
      <c r="K1512"/>
      <c r="L1512"/>
      <c r="M1512"/>
      <c r="N1512"/>
      <c r="O1512"/>
      <c r="P1512"/>
    </row>
    <row r="1513" spans="1:16" x14ac:dyDescent="0.2">
      <c r="A1513"/>
      <c r="B1513"/>
      <c r="C1513"/>
      <c r="H1513"/>
      <c r="I1513"/>
      <c r="J1513" s="243"/>
      <c r="K1513"/>
      <c r="L1513"/>
      <c r="M1513"/>
      <c r="N1513"/>
      <c r="O1513"/>
      <c r="P1513"/>
    </row>
    <row r="1514" spans="1:16" x14ac:dyDescent="0.2">
      <c r="A1514"/>
      <c r="B1514"/>
      <c r="C1514"/>
      <c r="H1514"/>
      <c r="I1514"/>
      <c r="J1514" s="243"/>
      <c r="K1514"/>
      <c r="L1514"/>
      <c r="M1514"/>
      <c r="N1514"/>
      <c r="O1514"/>
      <c r="P1514"/>
    </row>
    <row r="1515" spans="1:16" x14ac:dyDescent="0.2">
      <c r="A1515"/>
      <c r="B1515"/>
      <c r="C1515"/>
      <c r="H1515"/>
      <c r="I1515"/>
      <c r="J1515" s="243"/>
      <c r="K1515"/>
      <c r="L1515"/>
      <c r="M1515"/>
      <c r="N1515"/>
      <c r="O1515"/>
      <c r="P1515"/>
    </row>
    <row r="1516" spans="1:16" x14ac:dyDescent="0.2">
      <c r="A1516"/>
      <c r="B1516"/>
      <c r="C1516"/>
      <c r="H1516"/>
      <c r="I1516"/>
      <c r="J1516" s="243"/>
      <c r="K1516"/>
      <c r="L1516"/>
      <c r="M1516"/>
      <c r="N1516"/>
      <c r="O1516"/>
      <c r="P1516"/>
    </row>
    <row r="1517" spans="1:16" x14ac:dyDescent="0.2">
      <c r="A1517"/>
      <c r="B1517"/>
      <c r="C1517"/>
      <c r="H1517"/>
      <c r="I1517"/>
      <c r="J1517" s="243"/>
      <c r="K1517"/>
      <c r="L1517"/>
      <c r="M1517"/>
      <c r="N1517"/>
      <c r="O1517"/>
      <c r="P1517"/>
    </row>
    <row r="1518" spans="1:16" x14ac:dyDescent="0.2">
      <c r="A1518"/>
      <c r="B1518"/>
      <c r="C1518"/>
      <c r="H1518"/>
      <c r="I1518"/>
      <c r="J1518" s="243"/>
      <c r="K1518"/>
      <c r="L1518"/>
      <c r="M1518"/>
      <c r="N1518"/>
      <c r="O1518"/>
      <c r="P1518"/>
    </row>
    <row r="1519" spans="1:16" x14ac:dyDescent="0.2">
      <c r="A1519"/>
      <c r="B1519"/>
      <c r="C1519"/>
      <c r="H1519"/>
      <c r="I1519"/>
      <c r="J1519" s="243"/>
      <c r="K1519"/>
      <c r="L1519"/>
      <c r="M1519"/>
      <c r="N1519"/>
      <c r="O1519"/>
      <c r="P1519"/>
    </row>
    <row r="1520" spans="1:16" x14ac:dyDescent="0.2">
      <c r="A1520"/>
      <c r="B1520"/>
      <c r="C1520"/>
      <c r="H1520"/>
      <c r="I1520"/>
      <c r="J1520" s="243"/>
      <c r="K1520"/>
      <c r="L1520"/>
      <c r="M1520"/>
      <c r="N1520"/>
      <c r="O1520"/>
      <c r="P1520"/>
    </row>
    <row r="1521" spans="1:16" x14ac:dyDescent="0.2">
      <c r="A1521"/>
      <c r="B1521"/>
      <c r="C1521"/>
      <c r="H1521"/>
      <c r="I1521"/>
      <c r="J1521" s="243"/>
      <c r="K1521"/>
      <c r="L1521"/>
      <c r="M1521"/>
      <c r="N1521"/>
      <c r="O1521"/>
      <c r="P1521"/>
    </row>
    <row r="1522" spans="1:16" x14ac:dyDescent="0.2">
      <c r="A1522"/>
      <c r="B1522"/>
      <c r="C1522"/>
      <c r="H1522"/>
      <c r="I1522"/>
      <c r="J1522" s="243"/>
      <c r="K1522"/>
      <c r="L1522"/>
      <c r="M1522"/>
      <c r="N1522"/>
      <c r="O1522"/>
      <c r="P1522"/>
    </row>
    <row r="1523" spans="1:16" x14ac:dyDescent="0.2">
      <c r="A1523"/>
      <c r="B1523"/>
      <c r="C1523"/>
      <c r="H1523"/>
      <c r="I1523"/>
      <c r="J1523" s="243"/>
      <c r="K1523"/>
      <c r="L1523"/>
      <c r="M1523"/>
      <c r="N1523"/>
      <c r="O1523"/>
      <c r="P1523"/>
    </row>
    <row r="1524" spans="1:16" x14ac:dyDescent="0.2">
      <c r="A1524"/>
      <c r="B1524"/>
      <c r="C1524"/>
      <c r="H1524"/>
      <c r="I1524"/>
      <c r="J1524" s="243"/>
      <c r="K1524"/>
      <c r="L1524"/>
      <c r="M1524"/>
      <c r="N1524"/>
      <c r="O1524"/>
      <c r="P1524"/>
    </row>
    <row r="1525" spans="1:16" x14ac:dyDescent="0.2">
      <c r="A1525"/>
      <c r="B1525"/>
      <c r="C1525"/>
      <c r="H1525"/>
      <c r="I1525"/>
      <c r="J1525" s="243"/>
      <c r="K1525"/>
      <c r="L1525"/>
      <c r="M1525"/>
      <c r="N1525"/>
      <c r="O1525"/>
      <c r="P1525"/>
    </row>
    <row r="1526" spans="1:16" x14ac:dyDescent="0.2">
      <c r="A1526"/>
      <c r="B1526"/>
      <c r="C1526"/>
      <c r="H1526"/>
      <c r="I1526"/>
      <c r="J1526" s="243"/>
      <c r="K1526"/>
      <c r="L1526"/>
      <c r="M1526"/>
      <c r="N1526"/>
      <c r="O1526"/>
      <c r="P1526"/>
    </row>
    <row r="1527" spans="1:16" x14ac:dyDescent="0.2">
      <c r="A1527"/>
      <c r="B1527"/>
      <c r="C1527"/>
      <c r="H1527"/>
      <c r="I1527"/>
      <c r="J1527" s="243"/>
      <c r="K1527"/>
      <c r="L1527"/>
      <c r="M1527"/>
      <c r="N1527"/>
      <c r="O1527"/>
      <c r="P1527"/>
    </row>
    <row r="1528" spans="1:16" x14ac:dyDescent="0.2">
      <c r="A1528"/>
      <c r="B1528"/>
      <c r="C1528"/>
      <c r="H1528"/>
      <c r="I1528"/>
      <c r="J1528" s="243"/>
      <c r="K1528"/>
      <c r="L1528"/>
      <c r="M1528"/>
      <c r="N1528"/>
      <c r="O1528"/>
      <c r="P1528"/>
    </row>
    <row r="1529" spans="1:16" x14ac:dyDescent="0.2">
      <c r="A1529"/>
      <c r="B1529"/>
      <c r="C1529"/>
      <c r="H1529"/>
      <c r="I1529"/>
      <c r="J1529" s="243"/>
      <c r="K1529"/>
      <c r="L1529"/>
      <c r="M1529"/>
      <c r="N1529"/>
      <c r="O1529"/>
      <c r="P1529"/>
    </row>
    <row r="1530" spans="1:16" x14ac:dyDescent="0.2">
      <c r="A1530"/>
      <c r="B1530"/>
      <c r="C1530"/>
      <c r="H1530"/>
      <c r="I1530"/>
      <c r="J1530" s="243"/>
      <c r="K1530"/>
      <c r="L1530"/>
      <c r="M1530"/>
      <c r="N1530"/>
      <c r="O1530"/>
      <c r="P1530"/>
    </row>
    <row r="1531" spans="1:16" x14ac:dyDescent="0.2">
      <c r="A1531"/>
      <c r="B1531"/>
      <c r="C1531"/>
      <c r="H1531"/>
      <c r="I1531"/>
      <c r="J1531" s="243"/>
      <c r="K1531"/>
      <c r="L1531"/>
      <c r="M1531"/>
      <c r="N1531"/>
      <c r="O1531"/>
      <c r="P1531"/>
    </row>
    <row r="1532" spans="1:16" x14ac:dyDescent="0.2">
      <c r="A1532"/>
      <c r="B1532"/>
      <c r="C1532"/>
      <c r="H1532"/>
      <c r="I1532"/>
      <c r="J1532" s="243"/>
      <c r="K1532"/>
      <c r="L1532"/>
      <c r="M1532"/>
      <c r="N1532"/>
      <c r="O1532"/>
      <c r="P1532"/>
    </row>
    <row r="1533" spans="1:16" x14ac:dyDescent="0.2">
      <c r="A1533"/>
      <c r="B1533"/>
      <c r="C1533"/>
      <c r="H1533"/>
      <c r="I1533"/>
      <c r="J1533" s="243"/>
      <c r="K1533"/>
      <c r="L1533"/>
      <c r="M1533"/>
      <c r="N1533"/>
      <c r="O1533"/>
      <c r="P1533"/>
    </row>
    <row r="1534" spans="1:16" x14ac:dyDescent="0.2">
      <c r="A1534"/>
      <c r="B1534"/>
      <c r="C1534"/>
      <c r="H1534"/>
      <c r="I1534"/>
      <c r="J1534" s="243"/>
      <c r="K1534"/>
      <c r="L1534"/>
      <c r="M1534"/>
      <c r="N1534"/>
      <c r="O1534"/>
      <c r="P1534"/>
    </row>
    <row r="1535" spans="1:16" x14ac:dyDescent="0.2">
      <c r="A1535"/>
      <c r="B1535"/>
      <c r="C1535"/>
      <c r="H1535"/>
      <c r="I1535"/>
      <c r="J1535" s="243"/>
      <c r="K1535"/>
      <c r="L1535"/>
      <c r="M1535"/>
      <c r="N1535"/>
      <c r="O1535"/>
      <c r="P1535"/>
    </row>
    <row r="1536" spans="1:16" x14ac:dyDescent="0.2">
      <c r="A1536"/>
      <c r="B1536"/>
      <c r="C1536"/>
      <c r="H1536"/>
      <c r="I1536"/>
      <c r="J1536" s="243"/>
      <c r="K1536"/>
      <c r="L1536"/>
      <c r="M1536"/>
      <c r="N1536"/>
      <c r="O1536"/>
      <c r="P1536"/>
    </row>
    <row r="1537" spans="1:16" x14ac:dyDescent="0.2">
      <c r="A1537"/>
      <c r="B1537"/>
      <c r="C1537"/>
      <c r="H1537"/>
      <c r="I1537"/>
      <c r="J1537" s="243"/>
      <c r="K1537"/>
      <c r="L1537"/>
      <c r="M1537"/>
      <c r="N1537"/>
      <c r="O1537"/>
      <c r="P1537"/>
    </row>
    <row r="1538" spans="1:16" x14ac:dyDescent="0.2">
      <c r="A1538"/>
      <c r="B1538"/>
      <c r="C1538"/>
      <c r="H1538"/>
      <c r="I1538"/>
      <c r="J1538" s="243"/>
      <c r="K1538"/>
      <c r="L1538"/>
      <c r="M1538"/>
      <c r="N1538"/>
      <c r="O1538"/>
      <c r="P1538"/>
    </row>
    <row r="1539" spans="1:16" x14ac:dyDescent="0.2">
      <c r="A1539"/>
      <c r="B1539"/>
      <c r="C1539"/>
      <c r="H1539"/>
      <c r="I1539"/>
      <c r="J1539" s="243"/>
      <c r="K1539"/>
      <c r="L1539"/>
      <c r="M1539"/>
      <c r="N1539"/>
      <c r="O1539"/>
      <c r="P1539"/>
    </row>
    <row r="1540" spans="1:16" x14ac:dyDescent="0.2">
      <c r="A1540"/>
      <c r="B1540"/>
      <c r="C1540"/>
      <c r="H1540"/>
      <c r="I1540"/>
      <c r="J1540" s="243"/>
      <c r="K1540"/>
      <c r="L1540"/>
      <c r="M1540"/>
      <c r="N1540"/>
      <c r="O1540"/>
      <c r="P1540"/>
    </row>
    <row r="1541" spans="1:16" x14ac:dyDescent="0.2">
      <c r="A1541"/>
      <c r="B1541"/>
      <c r="C1541"/>
      <c r="H1541"/>
      <c r="I1541"/>
      <c r="J1541" s="243"/>
      <c r="K1541"/>
      <c r="L1541"/>
      <c r="M1541"/>
      <c r="N1541"/>
      <c r="O1541"/>
      <c r="P1541"/>
    </row>
    <row r="1542" spans="1:16" x14ac:dyDescent="0.2">
      <c r="A1542"/>
      <c r="B1542"/>
      <c r="C1542"/>
      <c r="H1542"/>
      <c r="I1542"/>
      <c r="J1542" s="243"/>
      <c r="K1542"/>
      <c r="L1542"/>
      <c r="M1542"/>
      <c r="N1542"/>
      <c r="O1542"/>
      <c r="P1542"/>
    </row>
    <row r="1543" spans="1:16" x14ac:dyDescent="0.2">
      <c r="A1543"/>
      <c r="B1543"/>
      <c r="C1543"/>
      <c r="H1543"/>
      <c r="I1543"/>
      <c r="J1543" s="243"/>
      <c r="K1543"/>
      <c r="L1543"/>
      <c r="M1543"/>
      <c r="N1543"/>
      <c r="O1543"/>
      <c r="P1543"/>
    </row>
    <row r="1544" spans="1:16" x14ac:dyDescent="0.2">
      <c r="A1544"/>
      <c r="B1544"/>
      <c r="C1544"/>
      <c r="H1544"/>
      <c r="I1544"/>
      <c r="J1544" s="243"/>
      <c r="K1544"/>
      <c r="L1544"/>
      <c r="M1544"/>
      <c r="N1544"/>
      <c r="O1544"/>
      <c r="P1544"/>
    </row>
    <row r="1545" spans="1:16" x14ac:dyDescent="0.2">
      <c r="A1545"/>
      <c r="B1545"/>
      <c r="C1545"/>
      <c r="H1545"/>
      <c r="I1545"/>
      <c r="J1545" s="243"/>
      <c r="K1545"/>
      <c r="L1545"/>
      <c r="M1545"/>
      <c r="N1545"/>
      <c r="O1545"/>
      <c r="P1545"/>
    </row>
    <row r="1546" spans="1:16" x14ac:dyDescent="0.2">
      <c r="A1546"/>
      <c r="B1546"/>
      <c r="C1546"/>
      <c r="H1546"/>
      <c r="I1546"/>
      <c r="J1546" s="243"/>
      <c r="K1546"/>
      <c r="L1546"/>
      <c r="M1546"/>
      <c r="N1546"/>
      <c r="O1546"/>
      <c r="P1546"/>
    </row>
    <row r="1547" spans="1:16" x14ac:dyDescent="0.2">
      <c r="A1547"/>
      <c r="B1547"/>
      <c r="C1547"/>
      <c r="H1547"/>
      <c r="I1547"/>
      <c r="J1547" s="243"/>
      <c r="K1547"/>
      <c r="L1547"/>
      <c r="M1547"/>
      <c r="N1547"/>
      <c r="O1547"/>
      <c r="P1547"/>
    </row>
    <row r="1548" spans="1:16" x14ac:dyDescent="0.2">
      <c r="A1548"/>
      <c r="B1548"/>
      <c r="C1548"/>
      <c r="H1548"/>
      <c r="I1548"/>
      <c r="J1548" s="243"/>
      <c r="K1548"/>
      <c r="L1548"/>
      <c r="M1548"/>
      <c r="N1548"/>
      <c r="O1548"/>
      <c r="P1548"/>
    </row>
    <row r="1549" spans="1:16" x14ac:dyDescent="0.2">
      <c r="A1549"/>
      <c r="B1549"/>
      <c r="C1549"/>
      <c r="H1549"/>
      <c r="I1549"/>
      <c r="J1549" s="243"/>
      <c r="K1549"/>
      <c r="L1549"/>
      <c r="M1549"/>
      <c r="N1549"/>
      <c r="O1549"/>
      <c r="P1549"/>
    </row>
    <row r="1550" spans="1:16" x14ac:dyDescent="0.2">
      <c r="A1550"/>
      <c r="B1550"/>
      <c r="C1550"/>
      <c r="H1550"/>
      <c r="I1550"/>
      <c r="J1550" s="243"/>
      <c r="K1550"/>
      <c r="L1550"/>
      <c r="M1550"/>
      <c r="N1550"/>
      <c r="O1550"/>
      <c r="P1550"/>
    </row>
    <row r="1551" spans="1:16" x14ac:dyDescent="0.2">
      <c r="A1551"/>
      <c r="B1551"/>
      <c r="C1551"/>
      <c r="H1551"/>
      <c r="I1551"/>
      <c r="J1551" s="243"/>
      <c r="K1551"/>
      <c r="L1551"/>
      <c r="M1551"/>
      <c r="N1551"/>
      <c r="O1551"/>
      <c r="P1551"/>
    </row>
    <row r="1552" spans="1:16" x14ac:dyDescent="0.2">
      <c r="A1552"/>
      <c r="B1552"/>
      <c r="C1552"/>
      <c r="H1552"/>
      <c r="I1552"/>
      <c r="J1552" s="243"/>
      <c r="K1552"/>
      <c r="L1552"/>
      <c r="M1552"/>
      <c r="N1552"/>
      <c r="O1552"/>
      <c r="P1552"/>
    </row>
    <row r="1553" spans="1:16" x14ac:dyDescent="0.2">
      <c r="A1553"/>
      <c r="B1553"/>
      <c r="C1553"/>
      <c r="H1553"/>
      <c r="I1553"/>
      <c r="J1553" s="243"/>
      <c r="K1553"/>
      <c r="L1553"/>
      <c r="M1553"/>
      <c r="N1553"/>
      <c r="O1553"/>
      <c r="P1553"/>
    </row>
    <row r="1554" spans="1:16" x14ac:dyDescent="0.2">
      <c r="A1554"/>
      <c r="B1554"/>
      <c r="C1554"/>
      <c r="H1554"/>
      <c r="I1554"/>
      <c r="J1554" s="243"/>
      <c r="K1554"/>
      <c r="L1554"/>
      <c r="M1554"/>
      <c r="N1554"/>
      <c r="O1554"/>
      <c r="P1554"/>
    </row>
    <row r="1555" spans="1:16" x14ac:dyDescent="0.2">
      <c r="A1555"/>
      <c r="B1555"/>
      <c r="C1555"/>
      <c r="H1555"/>
      <c r="I1555"/>
      <c r="J1555" s="243"/>
      <c r="K1555"/>
      <c r="L1555"/>
      <c r="M1555"/>
      <c r="N1555"/>
      <c r="O1555"/>
      <c r="P1555"/>
    </row>
    <row r="1556" spans="1:16" x14ac:dyDescent="0.2">
      <c r="A1556"/>
      <c r="B1556"/>
      <c r="C1556"/>
      <c r="H1556"/>
      <c r="I1556"/>
      <c r="J1556" s="243"/>
      <c r="K1556"/>
      <c r="L1556"/>
      <c r="M1556"/>
      <c r="N1556"/>
      <c r="O1556"/>
      <c r="P1556"/>
    </row>
    <row r="1557" spans="1:16" x14ac:dyDescent="0.2">
      <c r="A1557"/>
      <c r="B1557"/>
      <c r="C1557"/>
      <c r="H1557"/>
      <c r="I1557"/>
      <c r="J1557" s="243"/>
      <c r="K1557"/>
      <c r="L1557"/>
      <c r="M1557"/>
      <c r="N1557"/>
      <c r="O1557"/>
      <c r="P1557"/>
    </row>
    <row r="1558" spans="1:16" x14ac:dyDescent="0.2">
      <c r="A1558"/>
      <c r="B1558"/>
      <c r="C1558"/>
      <c r="H1558"/>
      <c r="I1558"/>
      <c r="J1558" s="243"/>
      <c r="K1558"/>
      <c r="L1558"/>
      <c r="M1558"/>
      <c r="N1558"/>
      <c r="O1558"/>
      <c r="P1558"/>
    </row>
    <row r="1559" spans="1:16" x14ac:dyDescent="0.2">
      <c r="A1559"/>
      <c r="B1559"/>
      <c r="C1559"/>
      <c r="H1559"/>
      <c r="I1559"/>
      <c r="J1559" s="243"/>
      <c r="K1559"/>
      <c r="L1559"/>
      <c r="M1559"/>
      <c r="N1559"/>
      <c r="O1559"/>
      <c r="P1559"/>
    </row>
    <row r="1560" spans="1:16" x14ac:dyDescent="0.2">
      <c r="A1560"/>
      <c r="B1560"/>
      <c r="C1560"/>
      <c r="H1560"/>
      <c r="I1560"/>
      <c r="J1560" s="243"/>
      <c r="K1560"/>
      <c r="L1560"/>
      <c r="M1560"/>
      <c r="N1560"/>
      <c r="O1560"/>
      <c r="P1560"/>
    </row>
    <row r="1561" spans="1:16" x14ac:dyDescent="0.2">
      <c r="A1561"/>
      <c r="B1561"/>
      <c r="C1561"/>
      <c r="H1561"/>
      <c r="I1561"/>
      <c r="J1561" s="243"/>
      <c r="K1561"/>
      <c r="L1561"/>
      <c r="M1561"/>
      <c r="N1561"/>
      <c r="O1561"/>
      <c r="P1561"/>
    </row>
    <row r="1562" spans="1:16" x14ac:dyDescent="0.2">
      <c r="A1562"/>
      <c r="B1562"/>
      <c r="C1562"/>
      <c r="H1562"/>
      <c r="I1562"/>
      <c r="J1562" s="243"/>
      <c r="K1562"/>
      <c r="L1562"/>
      <c r="M1562"/>
      <c r="N1562"/>
      <c r="O1562"/>
      <c r="P1562"/>
    </row>
    <row r="1563" spans="1:16" x14ac:dyDescent="0.2">
      <c r="A1563"/>
      <c r="B1563"/>
      <c r="C1563"/>
      <c r="H1563"/>
      <c r="I1563"/>
      <c r="J1563" s="243"/>
      <c r="K1563"/>
      <c r="L1563"/>
      <c r="M1563"/>
      <c r="N1563"/>
      <c r="O1563"/>
      <c r="P1563"/>
    </row>
    <row r="1564" spans="1:16" x14ac:dyDescent="0.2">
      <c r="A1564"/>
      <c r="B1564"/>
      <c r="C1564"/>
      <c r="H1564"/>
      <c r="I1564"/>
      <c r="J1564" s="243"/>
      <c r="K1564"/>
      <c r="L1564"/>
      <c r="M1564"/>
      <c r="N1564"/>
      <c r="O1564"/>
      <c r="P1564"/>
    </row>
    <row r="1565" spans="1:16" x14ac:dyDescent="0.2">
      <c r="A1565"/>
      <c r="B1565"/>
      <c r="C1565"/>
      <c r="H1565"/>
      <c r="I1565"/>
      <c r="J1565" s="243"/>
      <c r="K1565"/>
      <c r="L1565"/>
      <c r="M1565"/>
      <c r="N1565"/>
      <c r="O1565"/>
      <c r="P1565"/>
    </row>
    <row r="1566" spans="1:16" x14ac:dyDescent="0.2">
      <c r="A1566"/>
      <c r="B1566"/>
      <c r="C1566"/>
      <c r="H1566"/>
      <c r="I1566"/>
      <c r="J1566" s="243"/>
      <c r="K1566"/>
      <c r="L1566"/>
      <c r="M1566"/>
      <c r="N1566"/>
      <c r="O1566"/>
      <c r="P1566"/>
    </row>
    <row r="1567" spans="1:16" x14ac:dyDescent="0.2">
      <c r="A1567"/>
      <c r="B1567"/>
      <c r="C1567"/>
      <c r="H1567"/>
      <c r="I1567"/>
      <c r="J1567" s="243"/>
      <c r="K1567"/>
      <c r="L1567"/>
      <c r="M1567"/>
      <c r="N1567"/>
      <c r="O1567"/>
      <c r="P1567"/>
    </row>
    <row r="1568" spans="1:16" x14ac:dyDescent="0.2">
      <c r="A1568"/>
      <c r="B1568"/>
      <c r="C1568"/>
      <c r="H1568"/>
      <c r="I1568"/>
      <c r="J1568" s="243"/>
      <c r="K1568"/>
      <c r="L1568"/>
      <c r="M1568"/>
      <c r="N1568"/>
      <c r="O1568"/>
      <c r="P1568"/>
    </row>
    <row r="1569" spans="1:16" x14ac:dyDescent="0.2">
      <c r="A1569"/>
      <c r="B1569"/>
      <c r="C1569"/>
      <c r="H1569"/>
      <c r="I1569"/>
      <c r="J1569" s="243"/>
      <c r="K1569"/>
      <c r="L1569"/>
      <c r="M1569"/>
      <c r="N1569"/>
      <c r="O1569"/>
      <c r="P1569"/>
    </row>
    <row r="1570" spans="1:16" x14ac:dyDescent="0.2">
      <c r="A1570"/>
      <c r="B1570"/>
      <c r="C1570"/>
      <c r="H1570"/>
      <c r="I1570"/>
      <c r="J1570" s="243"/>
      <c r="K1570"/>
      <c r="L1570"/>
      <c r="M1570"/>
      <c r="N1570"/>
      <c r="O1570"/>
      <c r="P1570"/>
    </row>
    <row r="1571" spans="1:16" x14ac:dyDescent="0.2">
      <c r="A1571"/>
      <c r="B1571"/>
      <c r="C1571"/>
      <c r="H1571"/>
      <c r="I1571"/>
      <c r="J1571" s="243"/>
      <c r="K1571"/>
      <c r="L1571"/>
      <c r="M1571"/>
      <c r="N1571"/>
      <c r="O1571"/>
      <c r="P1571"/>
    </row>
    <row r="1572" spans="1:16" x14ac:dyDescent="0.2">
      <c r="A1572"/>
      <c r="B1572"/>
      <c r="C1572"/>
      <c r="H1572"/>
      <c r="I1572"/>
      <c r="J1572" s="243"/>
      <c r="K1572"/>
      <c r="L1572"/>
      <c r="M1572"/>
      <c r="N1572"/>
      <c r="O1572"/>
      <c r="P1572"/>
    </row>
    <row r="1573" spans="1:16" x14ac:dyDescent="0.2">
      <c r="A1573"/>
      <c r="B1573"/>
      <c r="C1573"/>
      <c r="H1573"/>
      <c r="I1573"/>
      <c r="J1573" s="243"/>
      <c r="K1573"/>
      <c r="L1573"/>
      <c r="M1573"/>
      <c r="N1573"/>
      <c r="O1573"/>
      <c r="P1573"/>
    </row>
    <row r="1574" spans="1:16" x14ac:dyDescent="0.2">
      <c r="A1574"/>
      <c r="B1574"/>
      <c r="C1574"/>
      <c r="H1574"/>
      <c r="I1574"/>
      <c r="J1574" s="243"/>
      <c r="K1574"/>
      <c r="L1574"/>
      <c r="M1574"/>
      <c r="N1574"/>
      <c r="O1574"/>
      <c r="P1574"/>
    </row>
    <row r="1575" spans="1:16" x14ac:dyDescent="0.2">
      <c r="A1575"/>
      <c r="B1575"/>
      <c r="C1575"/>
      <c r="H1575"/>
      <c r="I1575"/>
      <c r="J1575" s="243"/>
      <c r="K1575"/>
      <c r="L1575"/>
      <c r="M1575"/>
      <c r="N1575"/>
      <c r="O1575"/>
      <c r="P1575"/>
    </row>
    <row r="1576" spans="1:16" x14ac:dyDescent="0.2">
      <c r="A1576"/>
      <c r="B1576"/>
      <c r="C1576"/>
      <c r="H1576"/>
      <c r="I1576"/>
      <c r="J1576" s="243"/>
      <c r="K1576"/>
      <c r="L1576"/>
      <c r="M1576"/>
      <c r="N1576"/>
      <c r="O1576"/>
      <c r="P1576"/>
    </row>
    <row r="1577" spans="1:16" x14ac:dyDescent="0.2">
      <c r="A1577"/>
      <c r="B1577"/>
      <c r="C1577"/>
      <c r="H1577"/>
      <c r="I1577"/>
      <c r="J1577" s="243"/>
      <c r="K1577"/>
      <c r="L1577"/>
      <c r="M1577"/>
      <c r="N1577"/>
      <c r="O1577"/>
      <c r="P1577"/>
    </row>
    <row r="1578" spans="1:16" x14ac:dyDescent="0.2">
      <c r="A1578"/>
      <c r="B1578"/>
      <c r="C1578"/>
      <c r="H1578"/>
      <c r="I1578"/>
      <c r="J1578" s="243"/>
      <c r="K1578"/>
      <c r="L1578"/>
      <c r="M1578"/>
      <c r="N1578"/>
      <c r="O1578"/>
      <c r="P1578"/>
    </row>
    <row r="1579" spans="1:16" x14ac:dyDescent="0.2">
      <c r="A1579"/>
      <c r="B1579"/>
      <c r="C1579"/>
      <c r="H1579"/>
      <c r="I1579"/>
      <c r="J1579" s="243"/>
      <c r="K1579"/>
      <c r="L1579"/>
      <c r="M1579"/>
      <c r="N1579"/>
      <c r="O1579"/>
      <c r="P1579"/>
    </row>
    <row r="1580" spans="1:16" x14ac:dyDescent="0.2">
      <c r="A1580"/>
      <c r="B1580"/>
      <c r="C1580"/>
      <c r="H1580"/>
      <c r="I1580"/>
      <c r="J1580" s="243"/>
      <c r="K1580"/>
      <c r="L1580"/>
      <c r="M1580"/>
      <c r="N1580"/>
      <c r="O1580"/>
      <c r="P1580"/>
    </row>
    <row r="1581" spans="1:16" x14ac:dyDescent="0.2">
      <c r="A1581"/>
      <c r="B1581"/>
      <c r="C1581"/>
      <c r="H1581"/>
      <c r="I1581"/>
      <c r="J1581" s="243"/>
      <c r="K1581"/>
      <c r="L1581"/>
      <c r="M1581"/>
      <c r="N1581"/>
      <c r="O1581"/>
      <c r="P1581"/>
    </row>
    <row r="1582" spans="1:16" x14ac:dyDescent="0.2">
      <c r="A1582"/>
      <c r="B1582"/>
      <c r="C1582"/>
      <c r="H1582"/>
      <c r="I1582"/>
      <c r="J1582" s="243"/>
      <c r="K1582"/>
      <c r="L1582"/>
      <c r="M1582"/>
      <c r="N1582"/>
      <c r="O1582"/>
      <c r="P1582"/>
    </row>
    <row r="1583" spans="1:16" x14ac:dyDescent="0.2">
      <c r="A1583"/>
      <c r="B1583"/>
      <c r="C1583"/>
      <c r="H1583"/>
      <c r="I1583"/>
      <c r="J1583" s="243"/>
      <c r="K1583"/>
      <c r="L1583"/>
      <c r="M1583"/>
      <c r="N1583"/>
      <c r="O1583"/>
      <c r="P1583"/>
    </row>
    <row r="1584" spans="1:16" x14ac:dyDescent="0.2">
      <c r="A1584"/>
      <c r="B1584"/>
      <c r="C1584"/>
      <c r="H1584"/>
      <c r="I1584"/>
      <c r="J1584" s="243"/>
      <c r="K1584"/>
      <c r="L1584"/>
      <c r="M1584"/>
      <c r="N1584"/>
      <c r="O1584"/>
      <c r="P1584"/>
    </row>
    <row r="1585" spans="1:16" x14ac:dyDescent="0.2">
      <c r="A1585"/>
      <c r="B1585"/>
      <c r="C1585"/>
      <c r="H1585"/>
      <c r="I1585"/>
      <c r="J1585" s="243"/>
      <c r="K1585"/>
      <c r="L1585"/>
      <c r="M1585"/>
      <c r="N1585"/>
      <c r="O1585"/>
      <c r="P1585"/>
    </row>
    <row r="1586" spans="1:16" x14ac:dyDescent="0.2">
      <c r="A1586"/>
      <c r="B1586"/>
      <c r="C1586"/>
      <c r="H1586"/>
      <c r="I1586"/>
      <c r="J1586" s="243"/>
      <c r="K1586"/>
      <c r="L1586"/>
      <c r="M1586"/>
      <c r="N1586"/>
      <c r="O1586"/>
      <c r="P1586"/>
    </row>
    <row r="1587" spans="1:16" x14ac:dyDescent="0.2">
      <c r="A1587"/>
      <c r="B1587"/>
      <c r="C1587"/>
      <c r="H1587"/>
      <c r="I1587"/>
      <c r="J1587" s="243"/>
      <c r="K1587"/>
      <c r="L1587"/>
      <c r="M1587"/>
      <c r="N1587"/>
      <c r="O1587"/>
      <c r="P1587"/>
    </row>
    <row r="1588" spans="1:16" x14ac:dyDescent="0.2">
      <c r="A1588"/>
      <c r="B1588"/>
      <c r="C1588"/>
      <c r="H1588"/>
      <c r="I1588"/>
      <c r="J1588" s="243"/>
      <c r="K1588"/>
      <c r="L1588"/>
      <c r="M1588"/>
      <c r="N1588"/>
      <c r="O1588"/>
      <c r="P1588"/>
    </row>
    <row r="1589" spans="1:16" x14ac:dyDescent="0.2">
      <c r="A1589"/>
      <c r="B1589"/>
      <c r="C1589"/>
      <c r="H1589"/>
      <c r="I1589"/>
      <c r="J1589" s="243"/>
      <c r="K1589"/>
      <c r="L1589"/>
      <c r="M1589"/>
      <c r="N1589"/>
      <c r="O1589"/>
      <c r="P1589"/>
    </row>
    <row r="1590" spans="1:16" x14ac:dyDescent="0.2">
      <c r="A1590"/>
      <c r="B1590"/>
      <c r="C1590"/>
      <c r="H1590"/>
      <c r="I1590"/>
      <c r="J1590" s="243"/>
      <c r="K1590"/>
      <c r="L1590"/>
      <c r="M1590"/>
      <c r="N1590"/>
      <c r="O1590"/>
      <c r="P1590"/>
    </row>
    <row r="1591" spans="1:16" x14ac:dyDescent="0.2">
      <c r="A1591"/>
      <c r="B1591"/>
      <c r="C1591"/>
      <c r="H1591"/>
      <c r="I1591"/>
      <c r="J1591" s="243"/>
      <c r="K1591"/>
      <c r="L1591"/>
      <c r="M1591"/>
      <c r="N1591"/>
      <c r="O1591"/>
      <c r="P1591"/>
    </row>
    <row r="1592" spans="1:16" x14ac:dyDescent="0.2">
      <c r="A1592"/>
      <c r="B1592"/>
      <c r="C1592"/>
      <c r="H1592"/>
      <c r="I1592"/>
      <c r="J1592" s="243"/>
      <c r="K1592"/>
      <c r="L1592"/>
      <c r="M1592"/>
      <c r="N1592"/>
      <c r="O1592"/>
      <c r="P1592"/>
    </row>
    <row r="1593" spans="1:16" x14ac:dyDescent="0.2">
      <c r="A1593"/>
      <c r="B1593"/>
      <c r="C1593"/>
      <c r="H1593"/>
      <c r="I1593"/>
      <c r="J1593" s="243"/>
      <c r="K1593"/>
      <c r="L1593"/>
      <c r="M1593"/>
      <c r="N1593"/>
      <c r="O1593"/>
      <c r="P1593"/>
    </row>
    <row r="1594" spans="1:16" x14ac:dyDescent="0.2">
      <c r="A1594"/>
      <c r="B1594"/>
      <c r="C1594"/>
      <c r="H1594"/>
      <c r="I1594"/>
      <c r="J1594" s="243"/>
      <c r="K1594"/>
      <c r="L1594"/>
      <c r="M1594"/>
      <c r="N1594"/>
      <c r="O1594"/>
      <c r="P1594"/>
    </row>
    <row r="1595" spans="1:16" x14ac:dyDescent="0.2">
      <c r="A1595"/>
      <c r="B1595"/>
      <c r="C1595"/>
      <c r="H1595"/>
      <c r="I1595"/>
      <c r="J1595" s="243"/>
      <c r="K1595"/>
      <c r="L1595"/>
      <c r="M1595"/>
      <c r="N1595"/>
      <c r="O1595"/>
      <c r="P1595"/>
    </row>
    <row r="1596" spans="1:16" x14ac:dyDescent="0.2">
      <c r="A1596"/>
      <c r="B1596"/>
      <c r="C1596"/>
      <c r="H1596"/>
      <c r="I1596"/>
      <c r="J1596" s="243"/>
      <c r="K1596"/>
      <c r="L1596"/>
      <c r="M1596"/>
      <c r="N1596"/>
      <c r="O1596"/>
      <c r="P1596"/>
    </row>
    <row r="1597" spans="1:16" x14ac:dyDescent="0.2">
      <c r="A1597"/>
      <c r="B1597"/>
      <c r="C1597"/>
      <c r="H1597"/>
      <c r="I1597"/>
      <c r="J1597" s="243"/>
      <c r="K1597"/>
      <c r="L1597"/>
      <c r="M1597"/>
      <c r="N1597"/>
      <c r="O1597"/>
      <c r="P1597"/>
    </row>
    <row r="1598" spans="1:16" x14ac:dyDescent="0.2">
      <c r="A1598"/>
      <c r="B1598"/>
      <c r="C1598"/>
      <c r="H1598"/>
      <c r="I1598"/>
      <c r="J1598" s="243"/>
      <c r="K1598"/>
      <c r="L1598"/>
      <c r="M1598"/>
      <c r="N1598"/>
      <c r="O1598"/>
      <c r="P1598"/>
    </row>
    <row r="1599" spans="1:16" x14ac:dyDescent="0.2">
      <c r="A1599"/>
      <c r="B1599"/>
      <c r="C1599"/>
      <c r="H1599"/>
      <c r="I1599"/>
      <c r="J1599" s="243"/>
      <c r="K1599"/>
      <c r="L1599"/>
      <c r="M1599"/>
      <c r="N1599"/>
      <c r="O1599"/>
      <c r="P1599"/>
    </row>
    <row r="1600" spans="1:16" x14ac:dyDescent="0.2">
      <c r="A1600"/>
      <c r="B1600"/>
      <c r="C1600"/>
      <c r="H1600"/>
      <c r="I1600"/>
      <c r="J1600" s="243"/>
      <c r="K1600"/>
      <c r="L1600"/>
      <c r="M1600"/>
      <c r="N1600"/>
      <c r="O1600"/>
      <c r="P1600"/>
    </row>
    <row r="1601" spans="1:16" x14ac:dyDescent="0.2">
      <c r="A1601"/>
      <c r="B1601"/>
      <c r="C1601"/>
      <c r="H1601"/>
      <c r="I1601"/>
      <c r="J1601" s="243"/>
      <c r="K1601"/>
      <c r="L1601"/>
      <c r="M1601"/>
      <c r="N1601"/>
      <c r="O1601"/>
      <c r="P1601"/>
    </row>
    <row r="1602" spans="1:16" x14ac:dyDescent="0.2">
      <c r="A1602"/>
      <c r="B1602"/>
      <c r="C1602"/>
      <c r="H1602"/>
      <c r="I1602"/>
      <c r="J1602" s="243"/>
      <c r="K1602"/>
      <c r="L1602"/>
      <c r="M1602"/>
      <c r="N1602"/>
      <c r="O1602"/>
      <c r="P1602"/>
    </row>
    <row r="1603" spans="1:16" x14ac:dyDescent="0.2">
      <c r="A1603"/>
      <c r="B1603"/>
      <c r="C1603"/>
      <c r="H1603"/>
      <c r="I1603"/>
      <c r="J1603" s="243"/>
      <c r="K1603"/>
      <c r="L1603"/>
      <c r="M1603"/>
      <c r="N1603"/>
      <c r="O1603"/>
      <c r="P1603"/>
    </row>
    <row r="1604" spans="1:16" x14ac:dyDescent="0.2">
      <c r="A1604"/>
      <c r="B1604"/>
      <c r="C1604"/>
      <c r="H1604"/>
      <c r="I1604"/>
      <c r="J1604" s="243"/>
      <c r="K1604"/>
      <c r="L1604"/>
      <c r="M1604"/>
      <c r="N1604"/>
      <c r="O1604"/>
      <c r="P1604"/>
    </row>
    <row r="1605" spans="1:16" x14ac:dyDescent="0.2">
      <c r="A1605"/>
      <c r="B1605"/>
      <c r="C1605"/>
      <c r="H1605"/>
      <c r="I1605"/>
      <c r="J1605" s="243"/>
      <c r="K1605"/>
      <c r="L1605"/>
      <c r="M1605"/>
      <c r="N1605"/>
      <c r="O1605"/>
      <c r="P1605"/>
    </row>
    <row r="1606" spans="1:16" x14ac:dyDescent="0.2">
      <c r="A1606"/>
      <c r="B1606"/>
      <c r="C1606"/>
      <c r="H1606"/>
      <c r="I1606"/>
      <c r="J1606" s="243"/>
      <c r="K1606"/>
      <c r="L1606"/>
      <c r="M1606"/>
      <c r="N1606"/>
      <c r="O1606"/>
      <c r="P1606"/>
    </row>
    <row r="1607" spans="1:16" x14ac:dyDescent="0.2">
      <c r="A1607"/>
      <c r="B1607"/>
      <c r="C1607"/>
      <c r="H1607"/>
      <c r="I1607"/>
      <c r="J1607" s="243"/>
      <c r="K1607"/>
      <c r="L1607"/>
      <c r="M1607"/>
      <c r="N1607"/>
      <c r="O1607"/>
      <c r="P1607"/>
    </row>
    <row r="1608" spans="1:16" x14ac:dyDescent="0.2">
      <c r="A1608"/>
      <c r="B1608"/>
      <c r="C1608"/>
      <c r="H1608"/>
      <c r="I1608"/>
      <c r="J1608" s="243"/>
      <c r="K1608"/>
      <c r="L1608"/>
      <c r="M1608"/>
      <c r="N1608"/>
      <c r="O1608"/>
      <c r="P1608"/>
    </row>
    <row r="1609" spans="1:16" x14ac:dyDescent="0.2">
      <c r="A1609"/>
      <c r="B1609"/>
      <c r="C1609"/>
      <c r="H1609"/>
      <c r="I1609"/>
      <c r="J1609" s="243"/>
      <c r="K1609"/>
      <c r="L1609"/>
      <c r="M1609"/>
      <c r="N1609"/>
      <c r="O1609"/>
      <c r="P1609"/>
    </row>
    <row r="1610" spans="1:16" x14ac:dyDescent="0.2">
      <c r="A1610"/>
      <c r="B1610"/>
      <c r="C1610"/>
      <c r="H1610"/>
      <c r="I1610"/>
      <c r="J1610" s="243"/>
      <c r="K1610"/>
      <c r="L1610"/>
      <c r="M1610"/>
      <c r="N1610"/>
      <c r="O1610"/>
      <c r="P1610"/>
    </row>
    <row r="1611" spans="1:16" x14ac:dyDescent="0.2">
      <c r="A1611"/>
      <c r="B1611"/>
      <c r="C1611"/>
      <c r="H1611"/>
      <c r="I1611"/>
      <c r="J1611" s="243"/>
      <c r="K1611"/>
      <c r="L1611"/>
      <c r="M1611"/>
      <c r="N1611"/>
      <c r="O1611"/>
      <c r="P1611"/>
    </row>
    <row r="1612" spans="1:16" x14ac:dyDescent="0.2">
      <c r="A1612"/>
      <c r="B1612"/>
      <c r="C1612"/>
      <c r="H1612"/>
      <c r="I1612"/>
      <c r="J1612" s="243"/>
      <c r="K1612"/>
      <c r="L1612"/>
      <c r="M1612"/>
      <c r="N1612"/>
      <c r="O1612"/>
      <c r="P1612"/>
    </row>
    <row r="1613" spans="1:16" x14ac:dyDescent="0.2">
      <c r="A1613"/>
      <c r="B1613"/>
      <c r="C1613"/>
      <c r="H1613"/>
      <c r="I1613"/>
      <c r="J1613" s="243"/>
      <c r="K1613"/>
      <c r="L1613"/>
      <c r="M1613"/>
      <c r="N1613"/>
      <c r="O1613"/>
      <c r="P1613"/>
    </row>
    <row r="1614" spans="1:16" x14ac:dyDescent="0.2">
      <c r="A1614"/>
      <c r="B1614"/>
      <c r="C1614"/>
      <c r="H1614"/>
      <c r="I1614"/>
      <c r="J1614" s="243"/>
      <c r="K1614"/>
      <c r="L1614"/>
      <c r="M1614"/>
      <c r="N1614"/>
      <c r="O1614"/>
      <c r="P1614"/>
    </row>
    <row r="1615" spans="1:16" x14ac:dyDescent="0.2">
      <c r="A1615"/>
      <c r="B1615"/>
      <c r="C1615"/>
      <c r="H1615"/>
      <c r="I1615"/>
      <c r="J1615" s="243"/>
      <c r="K1615"/>
      <c r="L1615"/>
      <c r="M1615"/>
      <c r="N1615"/>
      <c r="O1615"/>
      <c r="P1615"/>
    </row>
    <row r="1616" spans="1:16" x14ac:dyDescent="0.2">
      <c r="A1616"/>
      <c r="B1616"/>
      <c r="C1616"/>
      <c r="H1616"/>
      <c r="I1616"/>
      <c r="J1616" s="243"/>
      <c r="K1616"/>
      <c r="L1616"/>
      <c r="M1616"/>
      <c r="N1616"/>
      <c r="O1616"/>
      <c r="P1616"/>
    </row>
    <row r="1617" spans="1:16" x14ac:dyDescent="0.2">
      <c r="A1617"/>
      <c r="B1617"/>
      <c r="C1617"/>
      <c r="H1617"/>
      <c r="I1617"/>
      <c r="J1617" s="243"/>
      <c r="K1617"/>
      <c r="L1617"/>
      <c r="M1617"/>
      <c r="N1617"/>
      <c r="O1617"/>
      <c r="P1617"/>
    </row>
    <row r="1618" spans="1:16" x14ac:dyDescent="0.2">
      <c r="A1618"/>
      <c r="B1618"/>
      <c r="C1618"/>
      <c r="H1618"/>
      <c r="I1618"/>
      <c r="J1618" s="243"/>
      <c r="K1618"/>
      <c r="L1618"/>
      <c r="M1618"/>
      <c r="N1618"/>
      <c r="O1618"/>
      <c r="P1618"/>
    </row>
    <row r="1619" spans="1:16" x14ac:dyDescent="0.2">
      <c r="A1619"/>
      <c r="B1619"/>
      <c r="C1619"/>
      <c r="H1619"/>
      <c r="I1619"/>
      <c r="J1619" s="243"/>
      <c r="K1619"/>
      <c r="L1619"/>
      <c r="M1619"/>
      <c r="N1619"/>
      <c r="O1619"/>
      <c r="P1619"/>
    </row>
    <row r="1620" spans="1:16" x14ac:dyDescent="0.2">
      <c r="A1620"/>
      <c r="B1620"/>
      <c r="C1620"/>
      <c r="H1620"/>
      <c r="I1620"/>
      <c r="J1620" s="243"/>
      <c r="K1620"/>
      <c r="L1620"/>
      <c r="M1620"/>
      <c r="N1620"/>
      <c r="O1620"/>
      <c r="P1620"/>
    </row>
    <row r="1621" spans="1:16" x14ac:dyDescent="0.2">
      <c r="A1621"/>
      <c r="B1621"/>
      <c r="C1621"/>
      <c r="H1621"/>
      <c r="I1621"/>
      <c r="J1621" s="243"/>
      <c r="K1621"/>
      <c r="L1621"/>
      <c r="M1621"/>
      <c r="N1621"/>
      <c r="O1621"/>
      <c r="P1621"/>
    </row>
    <row r="1622" spans="1:16" x14ac:dyDescent="0.2">
      <c r="A1622"/>
      <c r="B1622"/>
      <c r="C1622"/>
      <c r="H1622"/>
      <c r="I1622"/>
      <c r="J1622" s="243"/>
      <c r="K1622"/>
      <c r="L1622"/>
      <c r="M1622"/>
      <c r="N1622"/>
      <c r="O1622"/>
      <c r="P1622"/>
    </row>
    <row r="1623" spans="1:16" x14ac:dyDescent="0.2">
      <c r="A1623"/>
      <c r="B1623"/>
      <c r="C1623"/>
      <c r="H1623"/>
      <c r="I1623"/>
      <c r="J1623" s="243"/>
      <c r="K1623"/>
      <c r="L1623"/>
      <c r="M1623"/>
      <c r="N1623"/>
      <c r="O1623"/>
      <c r="P1623"/>
    </row>
    <row r="1624" spans="1:16" x14ac:dyDescent="0.2">
      <c r="A1624"/>
      <c r="B1624"/>
      <c r="C1624"/>
      <c r="H1624"/>
      <c r="I1624"/>
      <c r="J1624" s="243"/>
      <c r="K1624"/>
      <c r="L1624"/>
      <c r="M1624"/>
      <c r="N1624"/>
      <c r="O1624"/>
      <c r="P1624"/>
    </row>
    <row r="1625" spans="1:16" x14ac:dyDescent="0.2">
      <c r="A1625"/>
      <c r="B1625"/>
      <c r="C1625"/>
      <c r="H1625"/>
      <c r="I1625"/>
      <c r="J1625" s="243"/>
      <c r="K1625"/>
      <c r="L1625"/>
      <c r="M1625"/>
      <c r="N1625"/>
      <c r="O1625"/>
      <c r="P1625"/>
    </row>
    <row r="1626" spans="1:16" x14ac:dyDescent="0.2">
      <c r="A1626"/>
      <c r="B1626"/>
      <c r="C1626"/>
      <c r="H1626"/>
      <c r="I1626"/>
      <c r="J1626" s="243"/>
      <c r="K1626"/>
      <c r="L1626"/>
      <c r="M1626"/>
      <c r="N1626"/>
      <c r="O1626"/>
      <c r="P1626"/>
    </row>
    <row r="1627" spans="1:16" x14ac:dyDescent="0.2">
      <c r="A1627"/>
      <c r="B1627"/>
      <c r="C1627"/>
      <c r="H1627"/>
      <c r="I1627"/>
      <c r="J1627" s="243"/>
      <c r="K1627"/>
      <c r="L1627"/>
      <c r="M1627"/>
      <c r="N1627"/>
      <c r="O1627"/>
      <c r="P1627"/>
    </row>
    <row r="1628" spans="1:16" x14ac:dyDescent="0.2">
      <c r="A1628"/>
      <c r="B1628"/>
      <c r="C1628"/>
      <c r="H1628"/>
      <c r="I1628"/>
      <c r="J1628" s="243"/>
      <c r="K1628"/>
      <c r="L1628"/>
      <c r="M1628"/>
      <c r="N1628"/>
      <c r="O1628"/>
      <c r="P1628"/>
    </row>
    <row r="1629" spans="1:16" x14ac:dyDescent="0.2">
      <c r="A1629"/>
      <c r="B1629"/>
      <c r="C1629"/>
      <c r="H1629"/>
      <c r="I1629"/>
      <c r="J1629" s="243"/>
      <c r="K1629"/>
      <c r="L1629"/>
      <c r="M1629"/>
      <c r="N1629"/>
      <c r="O1629"/>
      <c r="P1629"/>
    </row>
    <row r="1630" spans="1:16" x14ac:dyDescent="0.2">
      <c r="A1630"/>
      <c r="B1630"/>
      <c r="C1630"/>
      <c r="H1630"/>
      <c r="I1630"/>
      <c r="J1630" s="243"/>
      <c r="K1630"/>
      <c r="L1630"/>
      <c r="M1630"/>
      <c r="N1630"/>
      <c r="O1630"/>
      <c r="P1630"/>
    </row>
    <row r="1631" spans="1:16" x14ac:dyDescent="0.2">
      <c r="A1631"/>
      <c r="B1631"/>
      <c r="C1631"/>
      <c r="H1631"/>
      <c r="I1631"/>
      <c r="J1631" s="243"/>
      <c r="K1631"/>
      <c r="L1631"/>
      <c r="M1631"/>
      <c r="N1631"/>
      <c r="O1631"/>
      <c r="P1631"/>
    </row>
    <row r="1632" spans="1:16" x14ac:dyDescent="0.2">
      <c r="A1632"/>
      <c r="B1632"/>
      <c r="C1632"/>
      <c r="H1632"/>
      <c r="I1632"/>
      <c r="J1632" s="243"/>
      <c r="K1632"/>
      <c r="L1632"/>
      <c r="M1632"/>
      <c r="N1632"/>
      <c r="O1632"/>
      <c r="P1632"/>
    </row>
    <row r="1633" spans="1:16" x14ac:dyDescent="0.2">
      <c r="A1633"/>
      <c r="B1633"/>
      <c r="C1633"/>
      <c r="H1633"/>
      <c r="I1633"/>
      <c r="J1633" s="243"/>
      <c r="K1633"/>
      <c r="L1633"/>
      <c r="M1633"/>
      <c r="N1633"/>
      <c r="O1633"/>
      <c r="P1633"/>
    </row>
    <row r="1634" spans="1:16" x14ac:dyDescent="0.2">
      <c r="A1634"/>
      <c r="B1634"/>
      <c r="C1634"/>
      <c r="H1634"/>
      <c r="I1634"/>
      <c r="J1634" s="243"/>
      <c r="K1634"/>
      <c r="L1634"/>
      <c r="M1634"/>
      <c r="N1634"/>
      <c r="O1634"/>
      <c r="P1634"/>
    </row>
    <row r="1635" spans="1:16" x14ac:dyDescent="0.2">
      <c r="A1635"/>
      <c r="B1635"/>
      <c r="C1635"/>
      <c r="H1635"/>
      <c r="I1635"/>
      <c r="J1635" s="243"/>
      <c r="K1635"/>
      <c r="L1635"/>
      <c r="M1635"/>
      <c r="N1635"/>
      <c r="O1635"/>
      <c r="P1635"/>
    </row>
    <row r="1636" spans="1:16" x14ac:dyDescent="0.2">
      <c r="A1636"/>
      <c r="B1636"/>
      <c r="C1636"/>
      <c r="H1636"/>
      <c r="I1636"/>
      <c r="J1636" s="243"/>
      <c r="K1636"/>
      <c r="L1636"/>
      <c r="M1636"/>
      <c r="N1636"/>
      <c r="O1636"/>
      <c r="P1636"/>
    </row>
    <row r="1637" spans="1:16" x14ac:dyDescent="0.2">
      <c r="A1637"/>
      <c r="B1637"/>
      <c r="C1637"/>
      <c r="H1637"/>
      <c r="I1637"/>
      <c r="J1637" s="243"/>
      <c r="K1637"/>
      <c r="L1637"/>
      <c r="M1637"/>
      <c r="N1637"/>
      <c r="O1637"/>
      <c r="P1637"/>
    </row>
    <row r="1638" spans="1:16" x14ac:dyDescent="0.2">
      <c r="A1638"/>
      <c r="B1638"/>
      <c r="C1638"/>
      <c r="H1638"/>
      <c r="I1638"/>
      <c r="J1638" s="243"/>
      <c r="K1638"/>
      <c r="L1638"/>
      <c r="M1638"/>
      <c r="N1638"/>
      <c r="O1638"/>
      <c r="P1638"/>
    </row>
    <row r="1639" spans="1:16" x14ac:dyDescent="0.2">
      <c r="A1639"/>
      <c r="B1639"/>
      <c r="C1639"/>
      <c r="H1639"/>
      <c r="I1639"/>
      <c r="J1639" s="243"/>
      <c r="K1639"/>
      <c r="L1639"/>
      <c r="M1639"/>
      <c r="N1639"/>
      <c r="O1639"/>
      <c r="P1639"/>
    </row>
    <row r="1640" spans="1:16" x14ac:dyDescent="0.2">
      <c r="A1640"/>
      <c r="B1640"/>
      <c r="C1640"/>
      <c r="H1640"/>
      <c r="I1640"/>
      <c r="J1640" s="243"/>
      <c r="K1640"/>
      <c r="L1640"/>
      <c r="M1640"/>
      <c r="N1640"/>
      <c r="O1640"/>
      <c r="P1640"/>
    </row>
    <row r="1641" spans="1:16" x14ac:dyDescent="0.2">
      <c r="A1641"/>
      <c r="B1641"/>
      <c r="C1641"/>
      <c r="H1641"/>
      <c r="I1641"/>
      <c r="J1641" s="243"/>
      <c r="K1641"/>
      <c r="L1641"/>
      <c r="M1641"/>
      <c r="N1641"/>
      <c r="O1641"/>
      <c r="P1641"/>
    </row>
    <row r="1642" spans="1:16" x14ac:dyDescent="0.2">
      <c r="A1642"/>
      <c r="B1642"/>
      <c r="C1642"/>
      <c r="H1642"/>
      <c r="I1642"/>
      <c r="J1642" s="243"/>
      <c r="K1642"/>
      <c r="L1642"/>
      <c r="M1642"/>
      <c r="N1642"/>
      <c r="O1642"/>
      <c r="P1642"/>
    </row>
    <row r="1643" spans="1:16" x14ac:dyDescent="0.2">
      <c r="A1643"/>
      <c r="B1643"/>
      <c r="C1643"/>
      <c r="H1643"/>
      <c r="I1643"/>
      <c r="J1643" s="243"/>
      <c r="K1643"/>
      <c r="L1643"/>
      <c r="M1643"/>
      <c r="N1643"/>
      <c r="O1643"/>
      <c r="P1643"/>
    </row>
    <row r="1644" spans="1:16" x14ac:dyDescent="0.2">
      <c r="A1644"/>
      <c r="B1644"/>
      <c r="C1644"/>
      <c r="H1644"/>
      <c r="I1644"/>
      <c r="J1644" s="243"/>
      <c r="K1644"/>
      <c r="L1644"/>
      <c r="M1644"/>
      <c r="N1644"/>
      <c r="O1644"/>
      <c r="P1644"/>
    </row>
    <row r="1645" spans="1:16" x14ac:dyDescent="0.2">
      <c r="A1645"/>
      <c r="B1645"/>
      <c r="C1645"/>
      <c r="H1645"/>
      <c r="I1645"/>
      <c r="J1645" s="243"/>
      <c r="K1645"/>
      <c r="L1645"/>
      <c r="M1645"/>
      <c r="N1645"/>
      <c r="O1645"/>
      <c r="P1645"/>
    </row>
    <row r="1646" spans="1:16" x14ac:dyDescent="0.2">
      <c r="A1646"/>
      <c r="B1646"/>
      <c r="C1646"/>
      <c r="H1646"/>
      <c r="I1646"/>
      <c r="J1646" s="243"/>
      <c r="K1646"/>
      <c r="L1646"/>
      <c r="M1646"/>
      <c r="N1646"/>
      <c r="O1646"/>
      <c r="P1646"/>
    </row>
    <row r="1647" spans="1:16" x14ac:dyDescent="0.2">
      <c r="A1647"/>
      <c r="B1647"/>
      <c r="C1647"/>
      <c r="H1647"/>
      <c r="I1647"/>
      <c r="J1647" s="243"/>
      <c r="K1647"/>
      <c r="L1647"/>
      <c r="M1647"/>
      <c r="N1647"/>
      <c r="O1647"/>
      <c r="P1647"/>
    </row>
    <row r="1648" spans="1:16" x14ac:dyDescent="0.2">
      <c r="A1648"/>
      <c r="B1648"/>
      <c r="C1648"/>
      <c r="H1648"/>
      <c r="I1648"/>
      <c r="J1648" s="243"/>
      <c r="K1648"/>
      <c r="L1648"/>
      <c r="M1648"/>
      <c r="N1648"/>
      <c r="O1648"/>
      <c r="P1648"/>
    </row>
    <row r="1649" spans="1:16" x14ac:dyDescent="0.2">
      <c r="A1649"/>
      <c r="B1649"/>
      <c r="C1649"/>
      <c r="H1649"/>
      <c r="I1649"/>
      <c r="J1649" s="243"/>
      <c r="K1649"/>
      <c r="L1649"/>
      <c r="M1649"/>
      <c r="N1649"/>
      <c r="O1649"/>
      <c r="P1649"/>
    </row>
    <row r="1650" spans="1:16" x14ac:dyDescent="0.2">
      <c r="A1650"/>
      <c r="B1650"/>
      <c r="C1650"/>
      <c r="H1650"/>
      <c r="I1650"/>
      <c r="J1650" s="243"/>
      <c r="K1650"/>
      <c r="L1650"/>
      <c r="M1650"/>
      <c r="N1650"/>
      <c r="O1650"/>
      <c r="P1650"/>
    </row>
    <row r="1651" spans="1:16" x14ac:dyDescent="0.2">
      <c r="A1651"/>
      <c r="B1651"/>
      <c r="C1651"/>
      <c r="H1651"/>
      <c r="I1651"/>
      <c r="J1651" s="243"/>
      <c r="K1651"/>
      <c r="L1651"/>
      <c r="M1651"/>
      <c r="N1651"/>
      <c r="O1651"/>
      <c r="P1651"/>
    </row>
    <row r="1652" spans="1:16" x14ac:dyDescent="0.2">
      <c r="A1652"/>
      <c r="B1652"/>
      <c r="C1652"/>
      <c r="H1652"/>
      <c r="I1652"/>
      <c r="J1652" s="243"/>
      <c r="K1652"/>
      <c r="L1652"/>
      <c r="M1652"/>
      <c r="N1652"/>
      <c r="O1652"/>
      <c r="P1652"/>
    </row>
    <row r="1653" spans="1:16" x14ac:dyDescent="0.2">
      <c r="A1653"/>
      <c r="B1653"/>
      <c r="C1653"/>
      <c r="H1653"/>
      <c r="I1653"/>
      <c r="J1653" s="243"/>
      <c r="K1653"/>
      <c r="L1653"/>
      <c r="M1653"/>
      <c r="N1653"/>
      <c r="O1653"/>
      <c r="P1653"/>
    </row>
    <row r="1654" spans="1:16" x14ac:dyDescent="0.2">
      <c r="A1654"/>
      <c r="B1654"/>
      <c r="C1654"/>
      <c r="H1654"/>
      <c r="I1654"/>
      <c r="J1654" s="243"/>
      <c r="K1654"/>
      <c r="L1654"/>
      <c r="M1654"/>
      <c r="N1654"/>
      <c r="O1654"/>
      <c r="P1654"/>
    </row>
    <row r="1655" spans="1:16" x14ac:dyDescent="0.2">
      <c r="A1655"/>
      <c r="B1655"/>
      <c r="C1655"/>
      <c r="H1655"/>
      <c r="I1655"/>
      <c r="J1655" s="243"/>
      <c r="K1655"/>
      <c r="L1655"/>
      <c r="M1655"/>
      <c r="N1655"/>
      <c r="O1655"/>
      <c r="P1655"/>
    </row>
    <row r="1656" spans="1:16" x14ac:dyDescent="0.2">
      <c r="A1656"/>
      <c r="B1656"/>
      <c r="C1656"/>
      <c r="H1656"/>
      <c r="I1656"/>
      <c r="J1656" s="243"/>
      <c r="K1656"/>
      <c r="L1656"/>
      <c r="M1656"/>
      <c r="N1656"/>
      <c r="O1656"/>
      <c r="P1656"/>
    </row>
    <row r="1657" spans="1:16" x14ac:dyDescent="0.2">
      <c r="A1657"/>
      <c r="B1657"/>
      <c r="C1657"/>
      <c r="H1657"/>
      <c r="I1657"/>
      <c r="J1657" s="243"/>
      <c r="K1657"/>
      <c r="L1657"/>
      <c r="M1657"/>
      <c r="N1657"/>
      <c r="O1657"/>
      <c r="P1657"/>
    </row>
    <row r="1658" spans="1:16" x14ac:dyDescent="0.2">
      <c r="A1658"/>
      <c r="B1658"/>
      <c r="C1658"/>
      <c r="H1658"/>
      <c r="I1658"/>
      <c r="J1658" s="243"/>
      <c r="K1658"/>
      <c r="L1658"/>
      <c r="M1658"/>
      <c r="N1658"/>
      <c r="O1658"/>
      <c r="P1658"/>
    </row>
    <row r="1659" spans="1:16" x14ac:dyDescent="0.2">
      <c r="A1659"/>
      <c r="B1659"/>
      <c r="C1659"/>
      <c r="H1659"/>
      <c r="I1659"/>
      <c r="J1659" s="243"/>
      <c r="K1659"/>
      <c r="L1659"/>
      <c r="M1659"/>
      <c r="N1659"/>
      <c r="O1659"/>
      <c r="P1659"/>
    </row>
    <row r="1660" spans="1:16" x14ac:dyDescent="0.2">
      <c r="A1660"/>
      <c r="B1660"/>
      <c r="C1660"/>
      <c r="H1660"/>
      <c r="I1660"/>
      <c r="J1660" s="243"/>
      <c r="K1660"/>
      <c r="L1660"/>
      <c r="M1660"/>
      <c r="N1660"/>
      <c r="O1660"/>
      <c r="P1660"/>
    </row>
    <row r="1661" spans="1:16" x14ac:dyDescent="0.2">
      <c r="A1661"/>
      <c r="B1661"/>
      <c r="C1661"/>
      <c r="H1661"/>
      <c r="I1661"/>
      <c r="J1661" s="243"/>
      <c r="K1661"/>
      <c r="L1661"/>
      <c r="M1661"/>
      <c r="N1661"/>
      <c r="O1661"/>
      <c r="P1661"/>
    </row>
    <row r="1662" spans="1:16" x14ac:dyDescent="0.2">
      <c r="A1662"/>
      <c r="B1662"/>
      <c r="C1662"/>
      <c r="H1662"/>
      <c r="I1662"/>
      <c r="J1662" s="243"/>
      <c r="K1662"/>
      <c r="L1662"/>
      <c r="M1662"/>
      <c r="N1662"/>
      <c r="O1662"/>
      <c r="P1662"/>
    </row>
    <row r="1663" spans="1:16" x14ac:dyDescent="0.2">
      <c r="A1663"/>
      <c r="B1663"/>
      <c r="C1663"/>
      <c r="H1663"/>
      <c r="I1663"/>
      <c r="J1663" s="243"/>
      <c r="K1663"/>
      <c r="L1663"/>
      <c r="M1663"/>
      <c r="N1663"/>
      <c r="O1663"/>
      <c r="P1663"/>
    </row>
    <row r="1664" spans="1:16" x14ac:dyDescent="0.2">
      <c r="A1664"/>
      <c r="B1664"/>
      <c r="C1664"/>
      <c r="H1664"/>
      <c r="I1664"/>
      <c r="J1664" s="243"/>
      <c r="K1664"/>
      <c r="L1664"/>
      <c r="M1664"/>
      <c r="N1664"/>
      <c r="O1664"/>
      <c r="P1664"/>
    </row>
  </sheetData>
  <mergeCells count="14">
    <mergeCell ref="Q2:Q4"/>
    <mergeCell ref="R2:R4"/>
    <mergeCell ref="I3:I4"/>
    <mergeCell ref="J3:J4"/>
    <mergeCell ref="M3:M4"/>
    <mergeCell ref="N3:N4"/>
    <mergeCell ref="B2:N2"/>
    <mergeCell ref="P2:P4"/>
    <mergeCell ref="C3:C4"/>
    <mergeCell ref="D3:D4"/>
    <mergeCell ref="E3:E4"/>
    <mergeCell ref="F3:F4"/>
    <mergeCell ref="H3:H4"/>
    <mergeCell ref="L3:L4"/>
  </mergeCells>
  <pageMargins left="0.35433070866141736" right="0.27559055118110237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11"/>
  <sheetViews>
    <sheetView workbookViewId="0">
      <selection activeCell="G73" sqref="G73"/>
    </sheetView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5.28515625" style="76" customWidth="1"/>
    <col min="11" max="11" width="3.7109375" style="76" customWidth="1"/>
    <col min="12" max="13" width="14.28515625" style="76" customWidth="1"/>
    <col min="14" max="14" width="5.85546875" style="76" customWidth="1"/>
    <col min="15" max="15" width="2.28515625" style="76" customWidth="1"/>
    <col min="16" max="16" width="12.85546875" style="76" customWidth="1"/>
    <col min="17" max="17" width="11.140625" customWidth="1"/>
    <col min="18" max="18" width="7" customWidth="1"/>
  </cols>
  <sheetData>
    <row r="1" spans="2:20" ht="15" customHeight="1" x14ac:dyDescent="0.2">
      <c r="B1" s="306"/>
      <c r="C1" s="307"/>
      <c r="D1" s="129"/>
      <c r="E1" s="129"/>
      <c r="F1" s="129"/>
      <c r="G1" s="129"/>
      <c r="H1" s="129"/>
      <c r="I1" s="129"/>
      <c r="J1" s="129"/>
      <c r="K1" s="249"/>
      <c r="L1" s="249"/>
      <c r="M1" s="249"/>
      <c r="N1" s="249"/>
      <c r="O1" s="249"/>
      <c r="P1" s="249"/>
    </row>
    <row r="2" spans="2:20" ht="26.25" customHeight="1" thickBot="1" x14ac:dyDescent="0.4">
      <c r="B2" s="248" t="s">
        <v>221</v>
      </c>
      <c r="C2" s="248"/>
      <c r="D2" s="248"/>
      <c r="E2" s="248"/>
      <c r="F2" s="248"/>
      <c r="G2" s="248"/>
      <c r="H2" s="481"/>
      <c r="I2" s="481"/>
      <c r="J2" s="481"/>
      <c r="K2" s="248"/>
      <c r="L2" s="248"/>
      <c r="M2" s="248"/>
      <c r="N2" s="248"/>
      <c r="O2" s="248"/>
      <c r="P2" s="248"/>
    </row>
    <row r="3" spans="2:20" ht="13.5" customHeight="1" thickBot="1" x14ac:dyDescent="0.25">
      <c r="B3" s="1131" t="s">
        <v>632</v>
      </c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3"/>
      <c r="O3" s="116"/>
      <c r="P3" s="1125" t="s">
        <v>716</v>
      </c>
      <c r="Q3" s="1125" t="s">
        <v>886</v>
      </c>
      <c r="R3" s="1128" t="s">
        <v>887</v>
      </c>
    </row>
    <row r="4" spans="2:20" ht="38.25" customHeight="1" thickTop="1" x14ac:dyDescent="0.2">
      <c r="B4" s="548"/>
      <c r="C4" s="1141" t="s">
        <v>478</v>
      </c>
      <c r="D4" s="1141" t="s">
        <v>477</v>
      </c>
      <c r="E4" s="1141" t="s">
        <v>475</v>
      </c>
      <c r="F4" s="1141" t="s">
        <v>476</v>
      </c>
      <c r="G4" s="550" t="s">
        <v>3</v>
      </c>
      <c r="H4" s="1135" t="s">
        <v>902</v>
      </c>
      <c r="I4" s="1135" t="s">
        <v>903</v>
      </c>
      <c r="J4" s="1139" t="s">
        <v>887</v>
      </c>
      <c r="L4" s="1137" t="s">
        <v>904</v>
      </c>
      <c r="M4" s="1137" t="s">
        <v>905</v>
      </c>
      <c r="N4" s="1139" t="s">
        <v>887</v>
      </c>
      <c r="P4" s="1126"/>
      <c r="Q4" s="1126"/>
      <c r="R4" s="1129"/>
    </row>
    <row r="5" spans="2:20" ht="31.5" customHeight="1" thickBot="1" x14ac:dyDescent="0.25">
      <c r="B5" s="925"/>
      <c r="C5" s="1124"/>
      <c r="D5" s="1124"/>
      <c r="E5" s="1124"/>
      <c r="F5" s="1124"/>
      <c r="G5" s="551"/>
      <c r="H5" s="1136"/>
      <c r="I5" s="1136"/>
      <c r="J5" s="1140"/>
      <c r="L5" s="1138"/>
      <c r="M5" s="1138"/>
      <c r="N5" s="1140"/>
      <c r="P5" s="1127"/>
      <c r="Q5" s="1127"/>
      <c r="R5" s="1130"/>
    </row>
    <row r="6" spans="2:20" ht="19.5" thickTop="1" thickBot="1" x14ac:dyDescent="0.25">
      <c r="B6" s="132">
        <v>1</v>
      </c>
      <c r="C6" s="121" t="s">
        <v>222</v>
      </c>
      <c r="D6" s="109"/>
      <c r="E6" s="109"/>
      <c r="F6" s="109"/>
      <c r="G6" s="109"/>
      <c r="H6" s="411">
        <f>H7+H11+H27</f>
        <v>3369096</v>
      </c>
      <c r="I6" s="411">
        <f t="shared" ref="I6" si="0">I7+I11+I27</f>
        <v>3338828</v>
      </c>
      <c r="J6" s="969">
        <f>I6/H6*100</f>
        <v>99.101598767147038</v>
      </c>
      <c r="K6" s="111"/>
      <c r="L6" s="406">
        <f>L7+L11+L27</f>
        <v>1339802</v>
      </c>
      <c r="M6" s="406">
        <f t="shared" ref="M6" si="1">M7+M11+M27</f>
        <v>453362</v>
      </c>
      <c r="N6" s="1005">
        <f>M6/L6*100</f>
        <v>33.837985015696347</v>
      </c>
      <c r="O6" s="111"/>
      <c r="P6" s="391">
        <f t="shared" ref="P6:P14" si="2">H6+L6</f>
        <v>4708898</v>
      </c>
      <c r="Q6" s="391">
        <f t="shared" ref="Q6:Q14" si="3">I6+M6</f>
        <v>3792190</v>
      </c>
      <c r="R6" s="992">
        <f>Q6/P6*100</f>
        <v>80.532430305349578</v>
      </c>
    </row>
    <row r="7" spans="2:20" ht="16.5" thickTop="1" x14ac:dyDescent="0.25">
      <c r="B7" s="132">
        <f>B6+1</f>
        <v>2</v>
      </c>
      <c r="C7" s="23">
        <v>1</v>
      </c>
      <c r="D7" s="123" t="s">
        <v>161</v>
      </c>
      <c r="E7" s="24"/>
      <c r="F7" s="24"/>
      <c r="G7" s="351"/>
      <c r="H7" s="412">
        <f>H8+H9+H10</f>
        <v>2606146</v>
      </c>
      <c r="I7" s="412">
        <f t="shared" ref="I7" si="4">I8+I9+I10</f>
        <v>2599694</v>
      </c>
      <c r="J7" s="994">
        <f t="shared" ref="J7:J23" si="5">I7/H7*100</f>
        <v>99.752431368004707</v>
      </c>
      <c r="K7" s="86"/>
      <c r="L7" s="392"/>
      <c r="M7" s="392"/>
      <c r="N7" s="971"/>
      <c r="O7" s="86"/>
      <c r="P7" s="372">
        <f t="shared" si="2"/>
        <v>2606146</v>
      </c>
      <c r="Q7" s="372">
        <f t="shared" si="3"/>
        <v>2599694</v>
      </c>
      <c r="R7" s="981">
        <f t="shared" ref="R7:R70" si="6">Q7/P7*100</f>
        <v>99.752431368004707</v>
      </c>
    </row>
    <row r="8" spans="2:20" ht="12" customHeight="1" x14ac:dyDescent="0.2">
      <c r="B8" s="132">
        <f t="shared" ref="B8:B24" si="7">B7+1</f>
        <v>3</v>
      </c>
      <c r="C8" s="126"/>
      <c r="D8" s="127"/>
      <c r="E8" s="127" t="s">
        <v>235</v>
      </c>
      <c r="F8" s="127" t="s">
        <v>216</v>
      </c>
      <c r="G8" s="352" t="s">
        <v>643</v>
      </c>
      <c r="H8" s="570">
        <f>460000-4600-4000-4900-43600-40751-8500-8000-20603</f>
        <v>325046</v>
      </c>
      <c r="I8" s="570">
        <v>325046</v>
      </c>
      <c r="J8" s="966">
        <f t="shared" si="5"/>
        <v>100</v>
      </c>
      <c r="K8" s="128"/>
      <c r="L8" s="571"/>
      <c r="M8" s="571"/>
      <c r="N8" s="979"/>
      <c r="O8" s="128"/>
      <c r="P8" s="133">
        <f t="shared" si="2"/>
        <v>325046</v>
      </c>
      <c r="Q8" s="133">
        <f t="shared" si="3"/>
        <v>325046</v>
      </c>
      <c r="R8" s="983">
        <f t="shared" si="6"/>
        <v>100</v>
      </c>
    </row>
    <row r="9" spans="2:20" x14ac:dyDescent="0.2">
      <c r="B9" s="132">
        <f t="shared" si="7"/>
        <v>4</v>
      </c>
      <c r="C9" s="126"/>
      <c r="D9" s="127"/>
      <c r="E9" s="127" t="s">
        <v>235</v>
      </c>
      <c r="F9" s="127" t="s">
        <v>216</v>
      </c>
      <c r="G9" s="352" t="s">
        <v>644</v>
      </c>
      <c r="H9" s="570">
        <f>2100000+186100-2000-27000</f>
        <v>2257100</v>
      </c>
      <c r="I9" s="570">
        <f>2599694-I8-I10</f>
        <v>2257056</v>
      </c>
      <c r="J9" s="966">
        <f t="shared" si="5"/>
        <v>99.998050595897396</v>
      </c>
      <c r="K9" s="128"/>
      <c r="L9" s="571"/>
      <c r="M9" s="571"/>
      <c r="N9" s="979"/>
      <c r="O9" s="128"/>
      <c r="P9" s="133">
        <f t="shared" si="2"/>
        <v>2257100</v>
      </c>
      <c r="Q9" s="133">
        <f t="shared" si="3"/>
        <v>2257056</v>
      </c>
      <c r="R9" s="983">
        <f t="shared" si="6"/>
        <v>99.998050595897396</v>
      </c>
    </row>
    <row r="10" spans="2:20" x14ac:dyDescent="0.2">
      <c r="B10" s="132">
        <f t="shared" si="7"/>
        <v>5</v>
      </c>
      <c r="C10" s="126"/>
      <c r="D10" s="179"/>
      <c r="E10" s="127" t="s">
        <v>235</v>
      </c>
      <c r="F10" s="127" t="s">
        <v>216</v>
      </c>
      <c r="G10" s="352" t="s">
        <v>698</v>
      </c>
      <c r="H10" s="570">
        <f>10000+14000</f>
        <v>24000</v>
      </c>
      <c r="I10" s="570">
        <v>17592</v>
      </c>
      <c r="J10" s="966">
        <f t="shared" si="5"/>
        <v>73.3</v>
      </c>
      <c r="K10" s="128"/>
      <c r="L10" s="571"/>
      <c r="M10" s="571"/>
      <c r="N10" s="979"/>
      <c r="O10" s="128"/>
      <c r="P10" s="133">
        <f t="shared" si="2"/>
        <v>24000</v>
      </c>
      <c r="Q10" s="133">
        <f t="shared" si="3"/>
        <v>17592</v>
      </c>
      <c r="R10" s="983">
        <f t="shared" si="6"/>
        <v>73.3</v>
      </c>
    </row>
    <row r="11" spans="2:20" ht="15.75" x14ac:dyDescent="0.25">
      <c r="B11" s="132">
        <f t="shared" si="7"/>
        <v>6</v>
      </c>
      <c r="C11" s="21">
        <v>2</v>
      </c>
      <c r="D11" s="122" t="s">
        <v>219</v>
      </c>
      <c r="E11" s="22"/>
      <c r="F11" s="22"/>
      <c r="G11" s="353"/>
      <c r="H11" s="413">
        <f>H12+H13+H14+H15+H16</f>
        <v>762950</v>
      </c>
      <c r="I11" s="413">
        <f t="shared" ref="I11" si="8">I12+I13+I14+I15+I16</f>
        <v>739134</v>
      </c>
      <c r="J11" s="972">
        <f t="shared" si="5"/>
        <v>96.878432400550494</v>
      </c>
      <c r="K11" s="110"/>
      <c r="L11" s="380">
        <f>L25+L26</f>
        <v>85920</v>
      </c>
      <c r="M11" s="380">
        <f t="shared" ref="M11" si="9">M25+M26</f>
        <v>85908</v>
      </c>
      <c r="N11" s="972">
        <f t="shared" ref="N11:N74" si="10">M11/L11*100</f>
        <v>99.986033519553075</v>
      </c>
      <c r="O11" s="110"/>
      <c r="P11" s="373">
        <f t="shared" si="2"/>
        <v>848870</v>
      </c>
      <c r="Q11" s="373">
        <f t="shared" si="3"/>
        <v>825042</v>
      </c>
      <c r="R11" s="984">
        <f t="shared" si="6"/>
        <v>97.192974189216258</v>
      </c>
      <c r="T11" s="17">
        <f>I12+I13+I14+I15+M11</f>
        <v>791267</v>
      </c>
    </row>
    <row r="12" spans="2:20" ht="12" customHeight="1" x14ac:dyDescent="0.2">
      <c r="B12" s="132">
        <f t="shared" si="7"/>
        <v>7</v>
      </c>
      <c r="C12" s="126"/>
      <c r="D12" s="126"/>
      <c r="E12" s="130" t="s">
        <v>235</v>
      </c>
      <c r="F12" s="130">
        <v>635</v>
      </c>
      <c r="G12" s="352" t="s">
        <v>836</v>
      </c>
      <c r="H12" s="570">
        <f>630000-50000+40000+9000</f>
        <v>629000</v>
      </c>
      <c r="I12" s="570">
        <v>628299</v>
      </c>
      <c r="J12" s="966">
        <f t="shared" si="5"/>
        <v>99.888553259141503</v>
      </c>
      <c r="K12" s="128"/>
      <c r="L12" s="570"/>
      <c r="M12" s="570"/>
      <c r="N12" s="966"/>
      <c r="O12" s="128"/>
      <c r="P12" s="572">
        <f t="shared" si="2"/>
        <v>629000</v>
      </c>
      <c r="Q12" s="572">
        <f t="shared" si="3"/>
        <v>628299</v>
      </c>
      <c r="R12" s="986">
        <f t="shared" si="6"/>
        <v>99.888553259141503</v>
      </c>
    </row>
    <row r="13" spans="2:20" ht="12" customHeight="1" x14ac:dyDescent="0.2">
      <c r="B13" s="132">
        <f t="shared" si="7"/>
        <v>8</v>
      </c>
      <c r="C13" s="126"/>
      <c r="D13" s="126"/>
      <c r="E13" s="130" t="s">
        <v>235</v>
      </c>
      <c r="F13" s="130">
        <v>635</v>
      </c>
      <c r="G13" s="352" t="s">
        <v>447</v>
      </c>
      <c r="H13" s="570">
        <f>70000-4000</f>
        <v>66000</v>
      </c>
      <c r="I13" s="570">
        <v>64899</v>
      </c>
      <c r="J13" s="966">
        <f t="shared" si="5"/>
        <v>98.331818181818193</v>
      </c>
      <c r="K13" s="128"/>
      <c r="L13" s="570"/>
      <c r="M13" s="570"/>
      <c r="N13" s="966"/>
      <c r="O13" s="128"/>
      <c r="P13" s="572">
        <f t="shared" si="2"/>
        <v>66000</v>
      </c>
      <c r="Q13" s="572">
        <f t="shared" si="3"/>
        <v>64899</v>
      </c>
      <c r="R13" s="986">
        <f t="shared" si="6"/>
        <v>98.331818181818193</v>
      </c>
    </row>
    <row r="14" spans="2:20" ht="12" customHeight="1" x14ac:dyDescent="0.2">
      <c r="B14" s="132">
        <f t="shared" si="7"/>
        <v>9</v>
      </c>
      <c r="C14" s="126"/>
      <c r="D14" s="126"/>
      <c r="E14" s="130" t="s">
        <v>235</v>
      </c>
      <c r="F14" s="130">
        <v>637</v>
      </c>
      <c r="G14" s="352" t="s">
        <v>604</v>
      </c>
      <c r="H14" s="570">
        <v>2000</v>
      </c>
      <c r="I14" s="570">
        <v>165</v>
      </c>
      <c r="J14" s="966">
        <f t="shared" si="5"/>
        <v>8.25</v>
      </c>
      <c r="K14" s="128"/>
      <c r="L14" s="570"/>
      <c r="M14" s="570"/>
      <c r="N14" s="966"/>
      <c r="O14" s="128"/>
      <c r="P14" s="572">
        <f t="shared" si="2"/>
        <v>2000</v>
      </c>
      <c r="Q14" s="572">
        <f t="shared" si="3"/>
        <v>165</v>
      </c>
      <c r="R14" s="986">
        <f t="shared" si="6"/>
        <v>8.25</v>
      </c>
    </row>
    <row r="15" spans="2:20" ht="12" customHeight="1" x14ac:dyDescent="0.2">
      <c r="B15" s="132">
        <f t="shared" si="7"/>
        <v>10</v>
      </c>
      <c r="C15" s="126"/>
      <c r="D15" s="160"/>
      <c r="E15" s="130" t="s">
        <v>235</v>
      </c>
      <c r="F15" s="793">
        <v>635</v>
      </c>
      <c r="G15" s="794" t="s">
        <v>798</v>
      </c>
      <c r="H15" s="795">
        <f>7500+4500</f>
        <v>12000</v>
      </c>
      <c r="I15" s="795">
        <v>11996</v>
      </c>
      <c r="J15" s="966">
        <f t="shared" si="5"/>
        <v>99.966666666666669</v>
      </c>
      <c r="K15" s="764"/>
      <c r="L15" s="796"/>
      <c r="M15" s="796"/>
      <c r="N15" s="978"/>
      <c r="O15" s="764"/>
      <c r="P15" s="797">
        <f>L15+H15</f>
        <v>12000</v>
      </c>
      <c r="Q15" s="797">
        <f t="shared" ref="Q15" si="11">M15+I15</f>
        <v>11996</v>
      </c>
      <c r="R15" s="1000">
        <f t="shared" si="6"/>
        <v>99.966666666666669</v>
      </c>
    </row>
    <row r="16" spans="2:20" ht="12" customHeight="1" x14ac:dyDescent="0.2">
      <c r="B16" s="132">
        <f t="shared" si="7"/>
        <v>11</v>
      </c>
      <c r="C16" s="126"/>
      <c r="D16" s="160"/>
      <c r="E16" s="130" t="s">
        <v>235</v>
      </c>
      <c r="F16" s="156"/>
      <c r="G16" s="226" t="s">
        <v>660</v>
      </c>
      <c r="H16" s="393">
        <f>H17+H18+H19</f>
        <v>53950</v>
      </c>
      <c r="I16" s="393">
        <f t="shared" ref="I16" si="12">I17+I18+I19</f>
        <v>33775</v>
      </c>
      <c r="J16" s="965">
        <f t="shared" si="5"/>
        <v>62.604263206672847</v>
      </c>
      <c r="K16" s="128"/>
      <c r="L16" s="381"/>
      <c r="M16" s="381"/>
      <c r="N16" s="978"/>
      <c r="O16" s="128"/>
      <c r="P16" s="524">
        <f t="shared" ref="P16:P23" si="13">H16+L16</f>
        <v>53950</v>
      </c>
      <c r="Q16" s="524">
        <f t="shared" ref="Q16:Q23" si="14">I16+M16</f>
        <v>33775</v>
      </c>
      <c r="R16" s="1009">
        <f t="shared" si="6"/>
        <v>62.604263206672847</v>
      </c>
    </row>
    <row r="17" spans="2:18" ht="12" customHeight="1" x14ac:dyDescent="0.2">
      <c r="B17" s="132">
        <f t="shared" si="7"/>
        <v>12</v>
      </c>
      <c r="C17" s="126"/>
      <c r="D17" s="160"/>
      <c r="E17" s="130"/>
      <c r="F17" s="154">
        <v>610</v>
      </c>
      <c r="G17" s="201" t="s">
        <v>257</v>
      </c>
      <c r="H17" s="387">
        <f>14200-3000</f>
        <v>11200</v>
      </c>
      <c r="I17" s="387">
        <v>10755</v>
      </c>
      <c r="J17" s="965">
        <f t="shared" si="5"/>
        <v>96.026785714285708</v>
      </c>
      <c r="K17" s="128"/>
      <c r="L17" s="381"/>
      <c r="M17" s="381"/>
      <c r="N17" s="978"/>
      <c r="O17" s="128"/>
      <c r="P17" s="524">
        <f t="shared" si="13"/>
        <v>11200</v>
      </c>
      <c r="Q17" s="524">
        <f t="shared" si="14"/>
        <v>10755</v>
      </c>
      <c r="R17" s="1009">
        <f t="shared" si="6"/>
        <v>96.026785714285708</v>
      </c>
    </row>
    <row r="18" spans="2:18" ht="12" customHeight="1" x14ac:dyDescent="0.2">
      <c r="B18" s="132">
        <f t="shared" si="7"/>
        <v>13</v>
      </c>
      <c r="C18" s="126"/>
      <c r="D18" s="160"/>
      <c r="E18" s="130"/>
      <c r="F18" s="154">
        <v>620</v>
      </c>
      <c r="G18" s="201" t="s">
        <v>259</v>
      </c>
      <c r="H18" s="387">
        <f>9900-1050</f>
        <v>8850</v>
      </c>
      <c r="I18" s="387">
        <v>5941</v>
      </c>
      <c r="J18" s="965">
        <f t="shared" si="5"/>
        <v>67.129943502824858</v>
      </c>
      <c r="K18" s="128"/>
      <c r="L18" s="381"/>
      <c r="M18" s="381"/>
      <c r="N18" s="978"/>
      <c r="O18" s="128"/>
      <c r="P18" s="524">
        <f t="shared" si="13"/>
        <v>8850</v>
      </c>
      <c r="Q18" s="524">
        <f t="shared" si="14"/>
        <v>5941</v>
      </c>
      <c r="R18" s="1009">
        <f t="shared" si="6"/>
        <v>67.129943502824858</v>
      </c>
    </row>
    <row r="19" spans="2:18" ht="12" customHeight="1" x14ac:dyDescent="0.2">
      <c r="B19" s="132">
        <f t="shared" si="7"/>
        <v>14</v>
      </c>
      <c r="C19" s="126"/>
      <c r="D19" s="160"/>
      <c r="E19" s="130"/>
      <c r="F19" s="154">
        <v>630</v>
      </c>
      <c r="G19" s="201" t="s">
        <v>249</v>
      </c>
      <c r="H19" s="387">
        <f>SUM(H20:H23)</f>
        <v>33900</v>
      </c>
      <c r="I19" s="387">
        <f t="shared" ref="I19" si="15">SUM(I20:I23)</f>
        <v>17079</v>
      </c>
      <c r="J19" s="965">
        <f t="shared" si="5"/>
        <v>50.380530973451329</v>
      </c>
      <c r="K19" s="128"/>
      <c r="L19" s="381"/>
      <c r="M19" s="381"/>
      <c r="N19" s="978"/>
      <c r="O19" s="128"/>
      <c r="P19" s="524">
        <f t="shared" si="13"/>
        <v>33900</v>
      </c>
      <c r="Q19" s="524">
        <f t="shared" si="14"/>
        <v>17079</v>
      </c>
      <c r="R19" s="1009">
        <f t="shared" si="6"/>
        <v>50.380530973451329</v>
      </c>
    </row>
    <row r="20" spans="2:18" ht="12" customHeight="1" x14ac:dyDescent="0.2">
      <c r="B20" s="132">
        <f t="shared" si="7"/>
        <v>15</v>
      </c>
      <c r="C20" s="126"/>
      <c r="D20" s="160"/>
      <c r="E20" s="130"/>
      <c r="F20" s="157">
        <v>633</v>
      </c>
      <c r="G20" s="193" t="s">
        <v>247</v>
      </c>
      <c r="H20" s="570">
        <v>12300</v>
      </c>
      <c r="I20" s="570">
        <v>8307</v>
      </c>
      <c r="J20" s="966">
        <f t="shared" si="5"/>
        <v>67.536585365853668</v>
      </c>
      <c r="K20" s="128"/>
      <c r="L20" s="381"/>
      <c r="M20" s="381"/>
      <c r="N20" s="978"/>
      <c r="O20" s="128"/>
      <c r="P20" s="161">
        <f t="shared" si="13"/>
        <v>12300</v>
      </c>
      <c r="Q20" s="161">
        <f t="shared" si="14"/>
        <v>8307</v>
      </c>
      <c r="R20" s="1000">
        <f t="shared" si="6"/>
        <v>67.536585365853668</v>
      </c>
    </row>
    <row r="21" spans="2:18" ht="12" customHeight="1" x14ac:dyDescent="0.2">
      <c r="B21" s="132">
        <f t="shared" si="7"/>
        <v>16</v>
      </c>
      <c r="C21" s="126"/>
      <c r="D21" s="160"/>
      <c r="E21" s="130"/>
      <c r="F21" s="127" t="s">
        <v>201</v>
      </c>
      <c r="G21" s="193" t="s">
        <v>260</v>
      </c>
      <c r="H21" s="570">
        <v>7400</v>
      </c>
      <c r="I21" s="570">
        <v>323</v>
      </c>
      <c r="J21" s="966">
        <f t="shared" si="5"/>
        <v>4.3648648648648649</v>
      </c>
      <c r="K21" s="128"/>
      <c r="L21" s="381"/>
      <c r="M21" s="381"/>
      <c r="N21" s="978"/>
      <c r="O21" s="128"/>
      <c r="P21" s="161">
        <f t="shared" si="13"/>
        <v>7400</v>
      </c>
      <c r="Q21" s="161">
        <f t="shared" si="14"/>
        <v>323</v>
      </c>
      <c r="R21" s="1000">
        <f t="shared" si="6"/>
        <v>4.3648648648648649</v>
      </c>
    </row>
    <row r="22" spans="2:18" ht="12" customHeight="1" x14ac:dyDescent="0.2">
      <c r="B22" s="132">
        <f t="shared" si="7"/>
        <v>17</v>
      </c>
      <c r="C22" s="126"/>
      <c r="D22" s="160"/>
      <c r="E22" s="130"/>
      <c r="F22" s="127" t="s">
        <v>214</v>
      </c>
      <c r="G22" s="193" t="s">
        <v>261</v>
      </c>
      <c r="H22" s="570">
        <v>330</v>
      </c>
      <c r="I22" s="570">
        <v>296</v>
      </c>
      <c r="J22" s="966">
        <f t="shared" si="5"/>
        <v>89.696969696969703</v>
      </c>
      <c r="K22" s="128"/>
      <c r="L22" s="381"/>
      <c r="M22" s="381"/>
      <c r="N22" s="978"/>
      <c r="O22" s="128"/>
      <c r="P22" s="161">
        <f t="shared" si="13"/>
        <v>330</v>
      </c>
      <c r="Q22" s="161">
        <f t="shared" si="14"/>
        <v>296</v>
      </c>
      <c r="R22" s="1000">
        <f t="shared" si="6"/>
        <v>89.696969696969703</v>
      </c>
    </row>
    <row r="23" spans="2:18" ht="12" customHeight="1" x14ac:dyDescent="0.2">
      <c r="B23" s="132">
        <f t="shared" si="7"/>
        <v>18</v>
      </c>
      <c r="C23" s="126"/>
      <c r="D23" s="160"/>
      <c r="E23" s="130"/>
      <c r="F23" s="130">
        <v>637</v>
      </c>
      <c r="G23" s="193" t="s">
        <v>248</v>
      </c>
      <c r="H23" s="570">
        <f>15870-2000</f>
        <v>13870</v>
      </c>
      <c r="I23" s="570">
        <v>8153</v>
      </c>
      <c r="J23" s="966">
        <f t="shared" si="5"/>
        <v>58.781542898341741</v>
      </c>
      <c r="K23" s="128"/>
      <c r="L23" s="381"/>
      <c r="M23" s="381"/>
      <c r="N23" s="978"/>
      <c r="O23" s="128"/>
      <c r="P23" s="161">
        <f t="shared" si="13"/>
        <v>13870</v>
      </c>
      <c r="Q23" s="161">
        <f t="shared" si="14"/>
        <v>8153</v>
      </c>
      <c r="R23" s="1000">
        <f t="shared" si="6"/>
        <v>58.781542898341741</v>
      </c>
    </row>
    <row r="24" spans="2:18" ht="12" customHeight="1" x14ac:dyDescent="0.2">
      <c r="B24" s="132">
        <f t="shared" si="7"/>
        <v>19</v>
      </c>
      <c r="C24" s="126"/>
      <c r="D24" s="160"/>
      <c r="E24" s="130"/>
      <c r="F24" s="130"/>
      <c r="G24" s="352"/>
      <c r="H24" s="570"/>
      <c r="I24" s="570"/>
      <c r="J24" s="870"/>
      <c r="K24" s="128"/>
      <c r="L24" s="381"/>
      <c r="M24" s="381"/>
      <c r="N24" s="978"/>
      <c r="O24" s="128"/>
      <c r="P24" s="161"/>
      <c r="Q24" s="161"/>
      <c r="R24" s="1000"/>
    </row>
    <row r="25" spans="2:18" ht="12" customHeight="1" x14ac:dyDescent="0.2">
      <c r="B25" s="675">
        <f t="shared" ref="B25:B74" si="16">B24+1</f>
        <v>20</v>
      </c>
      <c r="C25" s="715"/>
      <c r="D25" s="160"/>
      <c r="E25" s="130"/>
      <c r="F25" s="130">
        <v>714</v>
      </c>
      <c r="G25" s="578" t="s">
        <v>683</v>
      </c>
      <c r="H25" s="570"/>
      <c r="I25" s="570"/>
      <c r="J25" s="870"/>
      <c r="K25" s="128"/>
      <c r="L25" s="523">
        <f>70000+5000</f>
        <v>75000</v>
      </c>
      <c r="M25" s="523">
        <v>75000</v>
      </c>
      <c r="N25" s="978">
        <f t="shared" si="10"/>
        <v>100</v>
      </c>
      <c r="O25" s="128"/>
      <c r="P25" s="161">
        <f t="shared" ref="P25:P37" si="17">H25+L25</f>
        <v>75000</v>
      </c>
      <c r="Q25" s="161">
        <f t="shared" ref="Q25:Q74" si="18">I25+M25</f>
        <v>75000</v>
      </c>
      <c r="R25" s="1000">
        <f t="shared" si="6"/>
        <v>100</v>
      </c>
    </row>
    <row r="26" spans="2:18" ht="12" customHeight="1" x14ac:dyDescent="0.2">
      <c r="B26" s="675">
        <f t="shared" si="16"/>
        <v>21</v>
      </c>
      <c r="C26" s="715"/>
      <c r="D26" s="160"/>
      <c r="E26" s="130"/>
      <c r="F26" s="130">
        <v>714</v>
      </c>
      <c r="G26" s="578" t="s">
        <v>821</v>
      </c>
      <c r="H26" s="570"/>
      <c r="I26" s="570"/>
      <c r="J26" s="870"/>
      <c r="K26" s="128"/>
      <c r="L26" s="523">
        <f>12000-1080</f>
        <v>10920</v>
      </c>
      <c r="M26" s="523">
        <v>10908</v>
      </c>
      <c r="N26" s="978">
        <f t="shared" si="10"/>
        <v>99.890109890109898</v>
      </c>
      <c r="O26" s="128"/>
      <c r="P26" s="161">
        <f t="shared" si="17"/>
        <v>10920</v>
      </c>
      <c r="Q26" s="161">
        <f t="shared" si="18"/>
        <v>10908</v>
      </c>
      <c r="R26" s="1000">
        <f t="shared" si="6"/>
        <v>99.890109890109898</v>
      </c>
    </row>
    <row r="27" spans="2:18" ht="15.75" x14ac:dyDescent="0.25">
      <c r="B27" s="675">
        <f t="shared" si="16"/>
        <v>22</v>
      </c>
      <c r="C27" s="23">
        <v>3</v>
      </c>
      <c r="D27" s="123" t="s">
        <v>220</v>
      </c>
      <c r="E27" s="24"/>
      <c r="F27" s="24"/>
      <c r="G27" s="351"/>
      <c r="H27" s="413"/>
      <c r="I27" s="413"/>
      <c r="J27" s="990"/>
      <c r="K27" s="86"/>
      <c r="L27" s="378">
        <f>SUM(L28:L74)</f>
        <v>1253882</v>
      </c>
      <c r="M27" s="378">
        <f t="shared" ref="M27" si="19">SUM(M28:M74)</f>
        <v>367454</v>
      </c>
      <c r="N27" s="971">
        <f t="shared" si="10"/>
        <v>29.305309431030992</v>
      </c>
      <c r="O27" s="86"/>
      <c r="P27" s="372">
        <f t="shared" si="17"/>
        <v>1253882</v>
      </c>
      <c r="Q27" s="372">
        <f t="shared" si="18"/>
        <v>367454</v>
      </c>
      <c r="R27" s="981">
        <f t="shared" si="6"/>
        <v>29.305309431030992</v>
      </c>
    </row>
    <row r="28" spans="2:18" ht="12" customHeight="1" x14ac:dyDescent="0.2">
      <c r="B28" s="675">
        <f t="shared" si="16"/>
        <v>23</v>
      </c>
      <c r="C28" s="126"/>
      <c r="D28" s="126"/>
      <c r="E28" s="130" t="s">
        <v>235</v>
      </c>
      <c r="F28" s="130">
        <v>717</v>
      </c>
      <c r="G28" s="352" t="s">
        <v>661</v>
      </c>
      <c r="H28" s="381"/>
      <c r="I28" s="381"/>
      <c r="J28" s="1003"/>
      <c r="K28" s="128"/>
      <c r="L28" s="570">
        <f>60000+30000-35000</f>
        <v>55000</v>
      </c>
      <c r="M28" s="570">
        <f>192</f>
        <v>192</v>
      </c>
      <c r="N28" s="966">
        <f t="shared" si="10"/>
        <v>0.34909090909090912</v>
      </c>
      <c r="O28" s="128"/>
      <c r="P28" s="572">
        <f t="shared" si="17"/>
        <v>55000</v>
      </c>
      <c r="Q28" s="572">
        <f t="shared" si="18"/>
        <v>192</v>
      </c>
      <c r="R28" s="986">
        <f t="shared" si="6"/>
        <v>0.34909090909090912</v>
      </c>
    </row>
    <row r="29" spans="2:18" ht="12" customHeight="1" x14ac:dyDescent="0.2">
      <c r="B29" s="675">
        <f t="shared" si="16"/>
        <v>24</v>
      </c>
      <c r="C29" s="126"/>
      <c r="D29" s="126"/>
      <c r="E29" s="130" t="s">
        <v>235</v>
      </c>
      <c r="F29" s="130">
        <v>717</v>
      </c>
      <c r="G29" s="640" t="s">
        <v>662</v>
      </c>
      <c r="H29" s="381"/>
      <c r="I29" s="381"/>
      <c r="J29" s="1003"/>
      <c r="K29" s="128"/>
      <c r="L29" s="570">
        <v>2325</v>
      </c>
      <c r="M29" s="570">
        <v>2021</v>
      </c>
      <c r="N29" s="966">
        <f t="shared" si="10"/>
        <v>86.924731182795696</v>
      </c>
      <c r="O29" s="128"/>
      <c r="P29" s="572">
        <f t="shared" si="17"/>
        <v>2325</v>
      </c>
      <c r="Q29" s="572">
        <f t="shared" si="18"/>
        <v>2021</v>
      </c>
      <c r="R29" s="986">
        <f t="shared" si="6"/>
        <v>86.924731182795696</v>
      </c>
    </row>
    <row r="30" spans="2:18" ht="12" customHeight="1" x14ac:dyDescent="0.2">
      <c r="B30" s="675">
        <f t="shared" si="16"/>
        <v>25</v>
      </c>
      <c r="C30" s="126"/>
      <c r="D30" s="126"/>
      <c r="E30" s="130" t="s">
        <v>235</v>
      </c>
      <c r="F30" s="130">
        <v>717</v>
      </c>
      <c r="G30" s="352" t="s">
        <v>645</v>
      </c>
      <c r="H30" s="381"/>
      <c r="I30" s="381"/>
      <c r="J30" s="1003"/>
      <c r="K30" s="128"/>
      <c r="L30" s="570">
        <f>293000-2325</f>
        <v>290675</v>
      </c>
      <c r="M30" s="570"/>
      <c r="N30" s="966">
        <f t="shared" si="10"/>
        <v>0</v>
      </c>
      <c r="O30" s="128"/>
      <c r="P30" s="572">
        <f t="shared" si="17"/>
        <v>290675</v>
      </c>
      <c r="Q30" s="572">
        <f t="shared" si="18"/>
        <v>0</v>
      </c>
      <c r="R30" s="986">
        <f t="shared" si="6"/>
        <v>0</v>
      </c>
    </row>
    <row r="31" spans="2:18" ht="12" customHeight="1" x14ac:dyDescent="0.2">
      <c r="B31" s="675">
        <f t="shared" si="16"/>
        <v>26</v>
      </c>
      <c r="C31" s="126"/>
      <c r="D31" s="126"/>
      <c r="E31" s="130" t="s">
        <v>235</v>
      </c>
      <c r="F31" s="130">
        <v>716</v>
      </c>
      <c r="G31" s="352" t="s">
        <v>645</v>
      </c>
      <c r="H31" s="381"/>
      <c r="I31" s="381"/>
      <c r="J31" s="1003"/>
      <c r="K31" s="128"/>
      <c r="L31" s="570">
        <f>7000+2480</f>
        <v>9480</v>
      </c>
      <c r="M31" s="570">
        <v>9460</v>
      </c>
      <c r="N31" s="966">
        <f t="shared" si="10"/>
        <v>99.789029535864984</v>
      </c>
      <c r="O31" s="128"/>
      <c r="P31" s="572">
        <f t="shared" si="17"/>
        <v>9480</v>
      </c>
      <c r="Q31" s="572">
        <f t="shared" si="18"/>
        <v>9460</v>
      </c>
      <c r="R31" s="986">
        <f t="shared" si="6"/>
        <v>99.789029535864984</v>
      </c>
    </row>
    <row r="32" spans="2:18" ht="12" customHeight="1" x14ac:dyDescent="0.2">
      <c r="B32" s="675">
        <f t="shared" si="16"/>
        <v>27</v>
      </c>
      <c r="C32" s="126"/>
      <c r="D32" s="126"/>
      <c r="E32" s="130" t="s">
        <v>235</v>
      </c>
      <c r="F32" s="130">
        <v>716</v>
      </c>
      <c r="G32" s="352" t="s">
        <v>810</v>
      </c>
      <c r="H32" s="381"/>
      <c r="I32" s="381"/>
      <c r="J32" s="1003"/>
      <c r="K32" s="128"/>
      <c r="L32" s="570">
        <v>480</v>
      </c>
      <c r="M32" s="570">
        <v>480</v>
      </c>
      <c r="N32" s="966">
        <f t="shared" si="10"/>
        <v>100</v>
      </c>
      <c r="O32" s="128"/>
      <c r="P32" s="572">
        <f t="shared" si="17"/>
        <v>480</v>
      </c>
      <c r="Q32" s="572">
        <f t="shared" si="18"/>
        <v>480</v>
      </c>
      <c r="R32" s="986">
        <f t="shared" si="6"/>
        <v>100</v>
      </c>
    </row>
    <row r="33" spans="2:18" ht="12" customHeight="1" x14ac:dyDescent="0.2">
      <c r="B33" s="675">
        <f t="shared" si="16"/>
        <v>28</v>
      </c>
      <c r="C33" s="126"/>
      <c r="D33" s="126"/>
      <c r="E33" s="130" t="s">
        <v>235</v>
      </c>
      <c r="F33" s="130">
        <v>717</v>
      </c>
      <c r="G33" s="352" t="s">
        <v>714</v>
      </c>
      <c r="H33" s="381"/>
      <c r="I33" s="381"/>
      <c r="J33" s="1003"/>
      <c r="K33" s="128"/>
      <c r="L33" s="570">
        <f>62000+32323</f>
        <v>94323</v>
      </c>
      <c r="M33" s="570">
        <v>7424</v>
      </c>
      <c r="N33" s="966">
        <f t="shared" si="10"/>
        <v>7.870826839689153</v>
      </c>
      <c r="O33" s="128"/>
      <c r="P33" s="572">
        <f t="shared" si="17"/>
        <v>94323</v>
      </c>
      <c r="Q33" s="572">
        <f t="shared" si="18"/>
        <v>7424</v>
      </c>
      <c r="R33" s="986">
        <f t="shared" si="6"/>
        <v>7.870826839689153</v>
      </c>
    </row>
    <row r="34" spans="2:18" ht="12" customHeight="1" x14ac:dyDescent="0.2">
      <c r="B34" s="132">
        <f t="shared" si="16"/>
        <v>29</v>
      </c>
      <c r="C34" s="126"/>
      <c r="D34" s="126"/>
      <c r="E34" s="130" t="s">
        <v>235</v>
      </c>
      <c r="F34" s="130">
        <v>716</v>
      </c>
      <c r="G34" s="352" t="s">
        <v>700</v>
      </c>
      <c r="H34" s="381"/>
      <c r="I34" s="381"/>
      <c r="J34" s="1003"/>
      <c r="K34" s="128"/>
      <c r="L34" s="570">
        <f>900+2000</f>
        <v>2900</v>
      </c>
      <c r="M34" s="570">
        <v>2900</v>
      </c>
      <c r="N34" s="966">
        <f t="shared" si="10"/>
        <v>100</v>
      </c>
      <c r="O34" s="128"/>
      <c r="P34" s="572">
        <f t="shared" si="17"/>
        <v>2900</v>
      </c>
      <c r="Q34" s="572">
        <f t="shared" si="18"/>
        <v>2900</v>
      </c>
      <c r="R34" s="986">
        <f t="shared" si="6"/>
        <v>100</v>
      </c>
    </row>
    <row r="35" spans="2:18" ht="12" customHeight="1" x14ac:dyDescent="0.2">
      <c r="B35" s="132">
        <f t="shared" si="16"/>
        <v>30</v>
      </c>
      <c r="C35" s="568"/>
      <c r="D35" s="568"/>
      <c r="E35" s="130" t="s">
        <v>235</v>
      </c>
      <c r="F35" s="130">
        <v>717</v>
      </c>
      <c r="G35" s="352" t="s">
        <v>700</v>
      </c>
      <c r="H35" s="381"/>
      <c r="I35" s="381"/>
      <c r="J35" s="1003"/>
      <c r="K35" s="128"/>
      <c r="L35" s="570">
        <f>9000-900-2680</f>
        <v>5420</v>
      </c>
      <c r="M35" s="570">
        <v>3778</v>
      </c>
      <c r="N35" s="966">
        <f t="shared" si="10"/>
        <v>69.704797047970473</v>
      </c>
      <c r="O35" s="128"/>
      <c r="P35" s="572">
        <f t="shared" si="17"/>
        <v>5420</v>
      </c>
      <c r="Q35" s="572">
        <f t="shared" si="18"/>
        <v>3778</v>
      </c>
      <c r="R35" s="986">
        <f t="shared" si="6"/>
        <v>69.704797047970473</v>
      </c>
    </row>
    <row r="36" spans="2:18" ht="12" customHeight="1" x14ac:dyDescent="0.2">
      <c r="B36" s="132">
        <f t="shared" si="16"/>
        <v>31</v>
      </c>
      <c r="C36" s="568"/>
      <c r="D36" s="568"/>
      <c r="E36" s="181" t="s">
        <v>235</v>
      </c>
      <c r="F36" s="181">
        <v>716</v>
      </c>
      <c r="G36" s="309" t="s">
        <v>713</v>
      </c>
      <c r="H36" s="491"/>
      <c r="I36" s="491"/>
      <c r="J36" s="1014"/>
      <c r="K36" s="128"/>
      <c r="L36" s="571">
        <v>5000</v>
      </c>
      <c r="M36" s="571"/>
      <c r="N36" s="979">
        <f t="shared" si="10"/>
        <v>0</v>
      </c>
      <c r="O36" s="128"/>
      <c r="P36" s="133">
        <f t="shared" si="17"/>
        <v>5000</v>
      </c>
      <c r="Q36" s="133">
        <f t="shared" si="18"/>
        <v>0</v>
      </c>
      <c r="R36" s="983">
        <f t="shared" si="6"/>
        <v>0</v>
      </c>
    </row>
    <row r="37" spans="2:18" ht="12" customHeight="1" x14ac:dyDescent="0.2">
      <c r="B37" s="132">
        <f t="shared" si="16"/>
        <v>32</v>
      </c>
      <c r="C37" s="568"/>
      <c r="D37" s="568"/>
      <c r="E37" s="568" t="s">
        <v>235</v>
      </c>
      <c r="F37" s="568">
        <v>716</v>
      </c>
      <c r="G37" s="569" t="s">
        <v>695</v>
      </c>
      <c r="H37" s="570"/>
      <c r="I37" s="570"/>
      <c r="J37" s="870"/>
      <c r="K37" s="128"/>
      <c r="L37" s="571">
        <v>2000</v>
      </c>
      <c r="M37" s="571">
        <v>2000</v>
      </c>
      <c r="N37" s="979">
        <f t="shared" si="10"/>
        <v>100</v>
      </c>
      <c r="O37" s="128"/>
      <c r="P37" s="133">
        <f t="shared" si="17"/>
        <v>2000</v>
      </c>
      <c r="Q37" s="133">
        <f t="shared" si="18"/>
        <v>2000</v>
      </c>
      <c r="R37" s="983">
        <f t="shared" si="6"/>
        <v>100</v>
      </c>
    </row>
    <row r="38" spans="2:18" ht="12" customHeight="1" x14ac:dyDescent="0.2">
      <c r="B38" s="132">
        <f t="shared" si="16"/>
        <v>33</v>
      </c>
      <c r="C38" s="568"/>
      <c r="D38" s="568"/>
      <c r="E38" s="568" t="s">
        <v>235</v>
      </c>
      <c r="F38" s="568">
        <v>717</v>
      </c>
      <c r="G38" s="569" t="s">
        <v>695</v>
      </c>
      <c r="H38" s="570"/>
      <c r="I38" s="570"/>
      <c r="J38" s="870"/>
      <c r="K38" s="689"/>
      <c r="L38" s="570">
        <f>20000-2000</f>
        <v>18000</v>
      </c>
      <c r="M38" s="570">
        <f>24+950</f>
        <v>974</v>
      </c>
      <c r="N38" s="966">
        <f t="shared" si="10"/>
        <v>5.4111111111111114</v>
      </c>
      <c r="O38" s="690"/>
      <c r="P38" s="572">
        <f t="shared" ref="P38:P42" si="20">H38+L38</f>
        <v>18000</v>
      </c>
      <c r="Q38" s="572">
        <f t="shared" si="18"/>
        <v>974</v>
      </c>
      <c r="R38" s="986">
        <f t="shared" si="6"/>
        <v>5.4111111111111114</v>
      </c>
    </row>
    <row r="39" spans="2:18" ht="12" customHeight="1" x14ac:dyDescent="0.2">
      <c r="B39" s="132">
        <f t="shared" si="16"/>
        <v>34</v>
      </c>
      <c r="C39" s="568"/>
      <c r="D39" s="568"/>
      <c r="E39" s="130" t="s">
        <v>235</v>
      </c>
      <c r="F39" s="568">
        <v>716</v>
      </c>
      <c r="G39" s="569" t="s">
        <v>743</v>
      </c>
      <c r="H39" s="570"/>
      <c r="I39" s="570"/>
      <c r="J39" s="870"/>
      <c r="K39" s="689"/>
      <c r="L39" s="570">
        <v>500</v>
      </c>
      <c r="M39" s="570">
        <v>300</v>
      </c>
      <c r="N39" s="966">
        <f t="shared" si="10"/>
        <v>60</v>
      </c>
      <c r="O39" s="690"/>
      <c r="P39" s="572">
        <f t="shared" si="20"/>
        <v>500</v>
      </c>
      <c r="Q39" s="572">
        <f t="shared" si="18"/>
        <v>300</v>
      </c>
      <c r="R39" s="986">
        <f t="shared" si="6"/>
        <v>60</v>
      </c>
    </row>
    <row r="40" spans="2:18" ht="12" customHeight="1" x14ac:dyDescent="0.2">
      <c r="B40" s="132">
        <f t="shared" si="16"/>
        <v>35</v>
      </c>
      <c r="C40" s="568"/>
      <c r="D40" s="568"/>
      <c r="E40" s="130" t="s">
        <v>235</v>
      </c>
      <c r="F40" s="691">
        <v>717</v>
      </c>
      <c r="G40" s="692" t="s">
        <v>744</v>
      </c>
      <c r="H40" s="570"/>
      <c r="I40" s="570"/>
      <c r="J40" s="870"/>
      <c r="K40" s="689"/>
      <c r="L40" s="570">
        <f>1500+6000</f>
        <v>7500</v>
      </c>
      <c r="M40" s="570">
        <v>7307</v>
      </c>
      <c r="N40" s="966">
        <f t="shared" si="10"/>
        <v>97.426666666666662</v>
      </c>
      <c r="O40" s="690"/>
      <c r="P40" s="572">
        <f t="shared" si="20"/>
        <v>7500</v>
      </c>
      <c r="Q40" s="572">
        <f t="shared" si="18"/>
        <v>7307</v>
      </c>
      <c r="R40" s="986">
        <f t="shared" si="6"/>
        <v>97.426666666666662</v>
      </c>
    </row>
    <row r="41" spans="2:18" ht="12" customHeight="1" x14ac:dyDescent="0.2">
      <c r="B41" s="132">
        <f t="shared" si="16"/>
        <v>36</v>
      </c>
      <c r="C41" s="568"/>
      <c r="D41" s="568"/>
      <c r="E41" s="181" t="s">
        <v>235</v>
      </c>
      <c r="F41" s="691">
        <v>717</v>
      </c>
      <c r="G41" s="692" t="s">
        <v>745</v>
      </c>
      <c r="H41" s="570"/>
      <c r="I41" s="570"/>
      <c r="J41" s="870"/>
      <c r="K41" s="689"/>
      <c r="L41" s="570">
        <f>14900-4000</f>
        <v>10900</v>
      </c>
      <c r="M41" s="570">
        <v>10832</v>
      </c>
      <c r="N41" s="966">
        <f t="shared" si="10"/>
        <v>99.376146788990823</v>
      </c>
      <c r="O41" s="690"/>
      <c r="P41" s="572">
        <f t="shared" si="20"/>
        <v>10900</v>
      </c>
      <c r="Q41" s="572">
        <f t="shared" si="18"/>
        <v>10832</v>
      </c>
      <c r="R41" s="986">
        <f t="shared" si="6"/>
        <v>99.376146788990823</v>
      </c>
    </row>
    <row r="42" spans="2:18" ht="12" customHeight="1" x14ac:dyDescent="0.2">
      <c r="B42" s="695">
        <f t="shared" si="16"/>
        <v>37</v>
      </c>
      <c r="C42" s="691"/>
      <c r="D42" s="691"/>
      <c r="E42" s="691" t="s">
        <v>235</v>
      </c>
      <c r="F42" s="691">
        <v>716</v>
      </c>
      <c r="G42" s="692" t="s">
        <v>746</v>
      </c>
      <c r="H42" s="571"/>
      <c r="I42" s="571"/>
      <c r="J42" s="976"/>
      <c r="K42" s="696"/>
      <c r="L42" s="571">
        <v>1500</v>
      </c>
      <c r="M42" s="571">
        <v>500</v>
      </c>
      <c r="N42" s="979">
        <f t="shared" si="10"/>
        <v>33.333333333333329</v>
      </c>
      <c r="O42" s="697"/>
      <c r="P42" s="133">
        <f t="shared" si="20"/>
        <v>1500</v>
      </c>
      <c r="Q42" s="133">
        <f t="shared" si="18"/>
        <v>500</v>
      </c>
      <c r="R42" s="983">
        <f t="shared" si="6"/>
        <v>33.333333333333329</v>
      </c>
    </row>
    <row r="43" spans="2:18" ht="12" customHeight="1" x14ac:dyDescent="0.2">
      <c r="B43" s="675">
        <f t="shared" si="16"/>
        <v>38</v>
      </c>
      <c r="C43" s="568"/>
      <c r="D43" s="568"/>
      <c r="E43" s="568" t="s">
        <v>235</v>
      </c>
      <c r="F43" s="568">
        <v>717</v>
      </c>
      <c r="G43" s="569" t="s">
        <v>767</v>
      </c>
      <c r="H43" s="570"/>
      <c r="I43" s="570"/>
      <c r="J43" s="870"/>
      <c r="K43" s="689"/>
      <c r="L43" s="570">
        <v>40000</v>
      </c>
      <c r="M43" s="570">
        <v>586</v>
      </c>
      <c r="N43" s="966">
        <f t="shared" si="10"/>
        <v>1.4650000000000001</v>
      </c>
      <c r="O43" s="690"/>
      <c r="P43" s="572">
        <f t="shared" ref="P43:P73" si="21">H43+L43</f>
        <v>40000</v>
      </c>
      <c r="Q43" s="572">
        <f t="shared" si="18"/>
        <v>586</v>
      </c>
      <c r="R43" s="986">
        <f t="shared" si="6"/>
        <v>1.4650000000000001</v>
      </c>
    </row>
    <row r="44" spans="2:18" ht="12" customHeight="1" x14ac:dyDescent="0.2">
      <c r="B44" s="675">
        <f t="shared" si="16"/>
        <v>39</v>
      </c>
      <c r="C44" s="568"/>
      <c r="D44" s="568"/>
      <c r="E44" s="130" t="s">
        <v>235</v>
      </c>
      <c r="F44" s="716">
        <v>717</v>
      </c>
      <c r="G44" s="717" t="s">
        <v>768</v>
      </c>
      <c r="H44" s="688"/>
      <c r="I44" s="688"/>
      <c r="J44" s="870"/>
      <c r="K44" s="718"/>
      <c r="L44" s="688">
        <f>5000-5000</f>
        <v>0</v>
      </c>
      <c r="M44" s="688"/>
      <c r="N44" s="966"/>
      <c r="O44" s="719"/>
      <c r="P44" s="720">
        <f t="shared" si="21"/>
        <v>0</v>
      </c>
      <c r="Q44" s="720">
        <f t="shared" si="18"/>
        <v>0</v>
      </c>
      <c r="R44" s="986"/>
    </row>
    <row r="45" spans="2:18" ht="12" customHeight="1" x14ac:dyDescent="0.2">
      <c r="B45" s="675">
        <f t="shared" si="16"/>
        <v>40</v>
      </c>
      <c r="C45" s="568"/>
      <c r="D45" s="568"/>
      <c r="E45" s="181" t="s">
        <v>235</v>
      </c>
      <c r="F45" s="716">
        <v>717</v>
      </c>
      <c r="G45" s="717" t="s">
        <v>769</v>
      </c>
      <c r="H45" s="688"/>
      <c r="I45" s="688"/>
      <c r="J45" s="870"/>
      <c r="K45" s="718"/>
      <c r="L45" s="688">
        <f>3000-49</f>
        <v>2951</v>
      </c>
      <c r="M45" s="688">
        <v>2950</v>
      </c>
      <c r="N45" s="966">
        <f t="shared" si="10"/>
        <v>99.966113181972219</v>
      </c>
      <c r="O45" s="719"/>
      <c r="P45" s="720">
        <f t="shared" si="21"/>
        <v>2951</v>
      </c>
      <c r="Q45" s="720">
        <f t="shared" si="18"/>
        <v>2950</v>
      </c>
      <c r="R45" s="986">
        <f t="shared" si="6"/>
        <v>99.966113181972219</v>
      </c>
    </row>
    <row r="46" spans="2:18" ht="12" customHeight="1" x14ac:dyDescent="0.2">
      <c r="B46" s="675">
        <f t="shared" si="16"/>
        <v>41</v>
      </c>
      <c r="C46" s="568"/>
      <c r="D46" s="568"/>
      <c r="E46" s="568" t="s">
        <v>235</v>
      </c>
      <c r="F46" s="721">
        <v>717</v>
      </c>
      <c r="G46" s="687" t="s">
        <v>770</v>
      </c>
      <c r="H46" s="688"/>
      <c r="I46" s="688"/>
      <c r="J46" s="870"/>
      <c r="K46" s="718"/>
      <c r="L46" s="688">
        <f>1000-1000</f>
        <v>0</v>
      </c>
      <c r="M46" s="688"/>
      <c r="N46" s="966"/>
      <c r="O46" s="719"/>
      <c r="P46" s="720">
        <f t="shared" ref="P46:P72" si="22">H46+L46</f>
        <v>0</v>
      </c>
      <c r="Q46" s="720">
        <f t="shared" si="18"/>
        <v>0</v>
      </c>
      <c r="R46" s="986"/>
    </row>
    <row r="47" spans="2:18" ht="12" customHeight="1" x14ac:dyDescent="0.2">
      <c r="B47" s="675">
        <f t="shared" si="16"/>
        <v>42</v>
      </c>
      <c r="C47" s="181"/>
      <c r="D47" s="181"/>
      <c r="E47" s="568" t="s">
        <v>235</v>
      </c>
      <c r="F47" s="721">
        <v>716</v>
      </c>
      <c r="G47" s="687" t="s">
        <v>771</v>
      </c>
      <c r="H47" s="722"/>
      <c r="I47" s="722"/>
      <c r="J47" s="1014"/>
      <c r="K47" s="723"/>
      <c r="L47" s="722">
        <f>3000-2000</f>
        <v>1000</v>
      </c>
      <c r="M47" s="722"/>
      <c r="N47" s="968">
        <f t="shared" si="10"/>
        <v>0</v>
      </c>
      <c r="O47" s="724"/>
      <c r="P47" s="725">
        <f t="shared" si="22"/>
        <v>1000</v>
      </c>
      <c r="Q47" s="725">
        <f t="shared" si="18"/>
        <v>0</v>
      </c>
      <c r="R47" s="1018">
        <f t="shared" si="6"/>
        <v>0</v>
      </c>
    </row>
    <row r="48" spans="2:18" ht="12" customHeight="1" x14ac:dyDescent="0.2">
      <c r="B48" s="675">
        <f t="shared" si="16"/>
        <v>43</v>
      </c>
      <c r="C48" s="691"/>
      <c r="D48" s="691"/>
      <c r="E48" s="568" t="s">
        <v>235</v>
      </c>
      <c r="F48" s="721">
        <v>717</v>
      </c>
      <c r="G48" s="687" t="s">
        <v>772</v>
      </c>
      <c r="H48" s="726"/>
      <c r="I48" s="726"/>
      <c r="J48" s="976"/>
      <c r="K48" s="727"/>
      <c r="L48" s="726">
        <f>118000-8139-32323</f>
        <v>77538</v>
      </c>
      <c r="M48" s="726">
        <v>77427</v>
      </c>
      <c r="N48" s="979">
        <f t="shared" si="10"/>
        <v>99.856844385978476</v>
      </c>
      <c r="O48" s="728"/>
      <c r="P48" s="729">
        <f t="shared" si="22"/>
        <v>77538</v>
      </c>
      <c r="Q48" s="729">
        <f t="shared" si="18"/>
        <v>77427</v>
      </c>
      <c r="R48" s="983">
        <f t="shared" si="6"/>
        <v>99.856844385978476</v>
      </c>
    </row>
    <row r="49" spans="2:18" ht="12" customHeight="1" x14ac:dyDescent="0.2">
      <c r="B49" s="675">
        <f t="shared" si="16"/>
        <v>44</v>
      </c>
      <c r="C49" s="691"/>
      <c r="D49" s="691"/>
      <c r="E49" s="568" t="s">
        <v>235</v>
      </c>
      <c r="F49" s="721">
        <v>716</v>
      </c>
      <c r="G49" s="687" t="s">
        <v>773</v>
      </c>
      <c r="H49" s="726"/>
      <c r="I49" s="726"/>
      <c r="J49" s="976"/>
      <c r="K49" s="727"/>
      <c r="L49" s="726">
        <v>2000</v>
      </c>
      <c r="M49" s="726">
        <v>400</v>
      </c>
      <c r="N49" s="979">
        <f t="shared" si="10"/>
        <v>20</v>
      </c>
      <c r="O49" s="728"/>
      <c r="P49" s="729">
        <f t="shared" si="22"/>
        <v>2000</v>
      </c>
      <c r="Q49" s="729">
        <f t="shared" si="18"/>
        <v>400</v>
      </c>
      <c r="R49" s="983">
        <f t="shared" si="6"/>
        <v>20</v>
      </c>
    </row>
    <row r="50" spans="2:18" ht="12" customHeight="1" x14ac:dyDescent="0.2">
      <c r="B50" s="675">
        <f t="shared" si="16"/>
        <v>45</v>
      </c>
      <c r="C50" s="691"/>
      <c r="D50" s="691"/>
      <c r="E50" s="568" t="s">
        <v>235</v>
      </c>
      <c r="F50" s="721">
        <v>716</v>
      </c>
      <c r="G50" s="687" t="s">
        <v>774</v>
      </c>
      <c r="H50" s="726"/>
      <c r="I50" s="726"/>
      <c r="J50" s="976"/>
      <c r="K50" s="727"/>
      <c r="L50" s="726">
        <v>2000</v>
      </c>
      <c r="M50" s="726">
        <v>400</v>
      </c>
      <c r="N50" s="979">
        <f t="shared" si="10"/>
        <v>20</v>
      </c>
      <c r="O50" s="728"/>
      <c r="P50" s="729">
        <f t="shared" si="22"/>
        <v>2000</v>
      </c>
      <c r="Q50" s="729">
        <f t="shared" si="18"/>
        <v>400</v>
      </c>
      <c r="R50" s="983">
        <f t="shared" si="6"/>
        <v>20</v>
      </c>
    </row>
    <row r="51" spans="2:18" ht="12" customHeight="1" x14ac:dyDescent="0.2">
      <c r="B51" s="675">
        <f t="shared" si="16"/>
        <v>46</v>
      </c>
      <c r="C51" s="691"/>
      <c r="D51" s="691"/>
      <c r="E51" s="568" t="s">
        <v>235</v>
      </c>
      <c r="F51" s="721">
        <v>717</v>
      </c>
      <c r="G51" s="687" t="s">
        <v>775</v>
      </c>
      <c r="H51" s="726"/>
      <c r="I51" s="726"/>
      <c r="J51" s="976"/>
      <c r="K51" s="727"/>
      <c r="L51" s="726">
        <f>6000+5717</f>
        <v>11717</v>
      </c>
      <c r="M51" s="726">
        <v>11716</v>
      </c>
      <c r="N51" s="979">
        <f t="shared" si="10"/>
        <v>99.991465392165239</v>
      </c>
      <c r="O51" s="728"/>
      <c r="P51" s="729">
        <f t="shared" si="22"/>
        <v>11717</v>
      </c>
      <c r="Q51" s="729">
        <f t="shared" si="18"/>
        <v>11716</v>
      </c>
      <c r="R51" s="983">
        <f t="shared" si="6"/>
        <v>99.991465392165239</v>
      </c>
    </row>
    <row r="52" spans="2:18" ht="12" customHeight="1" x14ac:dyDescent="0.2">
      <c r="B52" s="675">
        <f t="shared" si="16"/>
        <v>47</v>
      </c>
      <c r="C52" s="691"/>
      <c r="D52" s="691"/>
      <c r="E52" s="568" t="s">
        <v>235</v>
      </c>
      <c r="F52" s="721">
        <v>717</v>
      </c>
      <c r="G52" s="687" t="s">
        <v>776</v>
      </c>
      <c r="H52" s="726"/>
      <c r="I52" s="726"/>
      <c r="J52" s="976"/>
      <c r="K52" s="727"/>
      <c r="L52" s="726">
        <f>1000+203</f>
        <v>1203</v>
      </c>
      <c r="M52" s="726">
        <v>1203</v>
      </c>
      <c r="N52" s="979">
        <f t="shared" si="10"/>
        <v>100</v>
      </c>
      <c r="O52" s="728"/>
      <c r="P52" s="729">
        <f t="shared" si="22"/>
        <v>1203</v>
      </c>
      <c r="Q52" s="729">
        <f t="shared" si="18"/>
        <v>1203</v>
      </c>
      <c r="R52" s="983">
        <f t="shared" si="6"/>
        <v>100</v>
      </c>
    </row>
    <row r="53" spans="2:18" ht="12" customHeight="1" x14ac:dyDescent="0.2">
      <c r="B53" s="675">
        <f t="shared" si="16"/>
        <v>48</v>
      </c>
      <c r="C53" s="691"/>
      <c r="D53" s="691"/>
      <c r="E53" s="568" t="s">
        <v>235</v>
      </c>
      <c r="F53" s="721">
        <v>716</v>
      </c>
      <c r="G53" s="687" t="s">
        <v>777</v>
      </c>
      <c r="H53" s="726"/>
      <c r="I53" s="726"/>
      <c r="J53" s="976"/>
      <c r="K53" s="727"/>
      <c r="L53" s="726">
        <v>3500</v>
      </c>
      <c r="M53" s="726"/>
      <c r="N53" s="979">
        <f t="shared" si="10"/>
        <v>0</v>
      </c>
      <c r="O53" s="728"/>
      <c r="P53" s="729">
        <f t="shared" si="22"/>
        <v>3500</v>
      </c>
      <c r="Q53" s="729">
        <f t="shared" si="18"/>
        <v>0</v>
      </c>
      <c r="R53" s="983">
        <f t="shared" si="6"/>
        <v>0</v>
      </c>
    </row>
    <row r="54" spans="2:18" ht="12" customHeight="1" x14ac:dyDescent="0.2">
      <c r="B54" s="675">
        <f t="shared" si="16"/>
        <v>49</v>
      </c>
      <c r="C54" s="691"/>
      <c r="D54" s="691"/>
      <c r="E54" s="568" t="s">
        <v>235</v>
      </c>
      <c r="F54" s="721">
        <v>716</v>
      </c>
      <c r="G54" s="687" t="s">
        <v>778</v>
      </c>
      <c r="H54" s="726"/>
      <c r="I54" s="726"/>
      <c r="J54" s="976"/>
      <c r="K54" s="727"/>
      <c r="L54" s="726">
        <f>3500-3000</f>
        <v>500</v>
      </c>
      <c r="M54" s="726"/>
      <c r="N54" s="979">
        <f t="shared" si="10"/>
        <v>0</v>
      </c>
      <c r="O54" s="728"/>
      <c r="P54" s="729">
        <f t="shared" si="22"/>
        <v>500</v>
      </c>
      <c r="Q54" s="729">
        <f t="shared" si="18"/>
        <v>0</v>
      </c>
      <c r="R54" s="983">
        <f t="shared" si="6"/>
        <v>0</v>
      </c>
    </row>
    <row r="55" spans="2:18" ht="12" customHeight="1" x14ac:dyDescent="0.2">
      <c r="B55" s="675">
        <f t="shared" si="16"/>
        <v>50</v>
      </c>
      <c r="C55" s="691"/>
      <c r="D55" s="691"/>
      <c r="E55" s="568" t="s">
        <v>235</v>
      </c>
      <c r="F55" s="721">
        <v>716</v>
      </c>
      <c r="G55" s="687" t="s">
        <v>780</v>
      </c>
      <c r="H55" s="726"/>
      <c r="I55" s="726"/>
      <c r="J55" s="976"/>
      <c r="K55" s="727"/>
      <c r="L55" s="726">
        <v>300</v>
      </c>
      <c r="M55" s="726">
        <v>300</v>
      </c>
      <c r="N55" s="979">
        <f t="shared" si="10"/>
        <v>100</v>
      </c>
      <c r="O55" s="728"/>
      <c r="P55" s="729">
        <f t="shared" si="22"/>
        <v>300</v>
      </c>
      <c r="Q55" s="729">
        <f t="shared" si="18"/>
        <v>300</v>
      </c>
      <c r="R55" s="983">
        <f t="shared" si="6"/>
        <v>100</v>
      </c>
    </row>
    <row r="56" spans="2:18" ht="12" customHeight="1" x14ac:dyDescent="0.2">
      <c r="B56" s="675">
        <f t="shared" si="16"/>
        <v>51</v>
      </c>
      <c r="C56" s="691"/>
      <c r="D56" s="691"/>
      <c r="E56" s="568" t="s">
        <v>235</v>
      </c>
      <c r="F56" s="721">
        <v>717</v>
      </c>
      <c r="G56" s="687" t="s">
        <v>779</v>
      </c>
      <c r="H56" s="726"/>
      <c r="I56" s="726"/>
      <c r="J56" s="976"/>
      <c r="K56" s="727"/>
      <c r="L56" s="726">
        <f>2500+2268</f>
        <v>4768</v>
      </c>
      <c r="M56" s="726">
        <v>4767</v>
      </c>
      <c r="N56" s="979">
        <f t="shared" si="10"/>
        <v>99.979026845637591</v>
      </c>
      <c r="O56" s="728"/>
      <c r="P56" s="729">
        <f t="shared" si="22"/>
        <v>4768</v>
      </c>
      <c r="Q56" s="729">
        <f t="shared" si="18"/>
        <v>4767</v>
      </c>
      <c r="R56" s="983">
        <f t="shared" si="6"/>
        <v>99.979026845637591</v>
      </c>
    </row>
    <row r="57" spans="2:18" ht="12" customHeight="1" x14ac:dyDescent="0.2">
      <c r="B57" s="675">
        <f t="shared" si="16"/>
        <v>52</v>
      </c>
      <c r="C57" s="691"/>
      <c r="D57" s="691"/>
      <c r="E57" s="568" t="s">
        <v>235</v>
      </c>
      <c r="F57" s="721">
        <v>717</v>
      </c>
      <c r="G57" s="687" t="s">
        <v>780</v>
      </c>
      <c r="H57" s="726"/>
      <c r="I57" s="726"/>
      <c r="J57" s="976"/>
      <c r="K57" s="727"/>
      <c r="L57" s="726">
        <f>2500-300-300</f>
        <v>1900</v>
      </c>
      <c r="M57" s="726"/>
      <c r="N57" s="979">
        <f t="shared" si="10"/>
        <v>0</v>
      </c>
      <c r="O57" s="728"/>
      <c r="P57" s="729">
        <f t="shared" si="22"/>
        <v>1900</v>
      </c>
      <c r="Q57" s="729">
        <f t="shared" si="18"/>
        <v>0</v>
      </c>
      <c r="R57" s="983">
        <f t="shared" si="6"/>
        <v>0</v>
      </c>
    </row>
    <row r="58" spans="2:18" ht="12" customHeight="1" x14ac:dyDescent="0.2">
      <c r="B58" s="675">
        <f t="shared" si="16"/>
        <v>53</v>
      </c>
      <c r="C58" s="691"/>
      <c r="D58" s="691"/>
      <c r="E58" s="568" t="s">
        <v>235</v>
      </c>
      <c r="F58" s="721">
        <v>717</v>
      </c>
      <c r="G58" s="687" t="s">
        <v>866</v>
      </c>
      <c r="H58" s="726"/>
      <c r="I58" s="726"/>
      <c r="J58" s="976"/>
      <c r="K58" s="727"/>
      <c r="L58" s="726">
        <f>16631+7850+300</f>
        <v>24781</v>
      </c>
      <c r="M58" s="726">
        <v>24481</v>
      </c>
      <c r="N58" s="979">
        <f t="shared" si="10"/>
        <v>98.789395101085503</v>
      </c>
      <c r="O58" s="728"/>
      <c r="P58" s="729">
        <f t="shared" si="22"/>
        <v>24781</v>
      </c>
      <c r="Q58" s="729">
        <f t="shared" si="18"/>
        <v>24481</v>
      </c>
      <c r="R58" s="983">
        <f t="shared" si="6"/>
        <v>98.789395101085503</v>
      </c>
    </row>
    <row r="59" spans="2:18" ht="12" customHeight="1" x14ac:dyDescent="0.2">
      <c r="B59" s="675">
        <f t="shared" si="16"/>
        <v>54</v>
      </c>
      <c r="C59" s="691"/>
      <c r="D59" s="691"/>
      <c r="E59" s="568" t="s">
        <v>235</v>
      </c>
      <c r="F59" s="730">
        <v>717</v>
      </c>
      <c r="G59" s="731" t="s">
        <v>781</v>
      </c>
      <c r="H59" s="379"/>
      <c r="I59" s="379"/>
      <c r="J59" s="976"/>
      <c r="K59" s="732"/>
      <c r="L59" s="379">
        <f>5000+1740</f>
        <v>6740</v>
      </c>
      <c r="M59" s="379">
        <v>6739</v>
      </c>
      <c r="N59" s="979">
        <f t="shared" si="10"/>
        <v>99.985163204747778</v>
      </c>
      <c r="O59" s="733"/>
      <c r="P59" s="734">
        <f t="shared" si="22"/>
        <v>6740</v>
      </c>
      <c r="Q59" s="734">
        <f t="shared" si="18"/>
        <v>6739</v>
      </c>
      <c r="R59" s="983">
        <f t="shared" si="6"/>
        <v>99.985163204747778</v>
      </c>
    </row>
    <row r="60" spans="2:18" ht="12" customHeight="1" x14ac:dyDescent="0.2">
      <c r="B60" s="675">
        <f t="shared" si="16"/>
        <v>55</v>
      </c>
      <c r="C60" s="691"/>
      <c r="D60" s="691"/>
      <c r="E60" s="568" t="s">
        <v>235</v>
      </c>
      <c r="F60" s="730">
        <v>717</v>
      </c>
      <c r="G60" s="731" t="s">
        <v>782</v>
      </c>
      <c r="H60" s="379"/>
      <c r="I60" s="379"/>
      <c r="J60" s="976"/>
      <c r="K60" s="732"/>
      <c r="L60" s="379">
        <v>17550</v>
      </c>
      <c r="M60" s="379">
        <v>17550</v>
      </c>
      <c r="N60" s="979">
        <f t="shared" si="10"/>
        <v>100</v>
      </c>
      <c r="O60" s="733"/>
      <c r="P60" s="734">
        <f t="shared" si="22"/>
        <v>17550</v>
      </c>
      <c r="Q60" s="734">
        <f t="shared" si="18"/>
        <v>17550</v>
      </c>
      <c r="R60" s="983">
        <f t="shared" si="6"/>
        <v>100</v>
      </c>
    </row>
    <row r="61" spans="2:18" ht="12" customHeight="1" x14ac:dyDescent="0.2">
      <c r="B61" s="675">
        <f t="shared" si="16"/>
        <v>56</v>
      </c>
      <c r="C61" s="691"/>
      <c r="D61" s="691"/>
      <c r="E61" s="568" t="s">
        <v>235</v>
      </c>
      <c r="F61" s="730">
        <v>716</v>
      </c>
      <c r="G61" s="731" t="s">
        <v>783</v>
      </c>
      <c r="H61" s="379"/>
      <c r="I61" s="379"/>
      <c r="J61" s="976"/>
      <c r="K61" s="732"/>
      <c r="L61" s="379">
        <f>2500-2000</f>
        <v>500</v>
      </c>
      <c r="M61" s="379">
        <v>500</v>
      </c>
      <c r="N61" s="979">
        <f t="shared" si="10"/>
        <v>100</v>
      </c>
      <c r="O61" s="733"/>
      <c r="P61" s="734">
        <f t="shared" si="22"/>
        <v>500</v>
      </c>
      <c r="Q61" s="734">
        <f t="shared" si="18"/>
        <v>500</v>
      </c>
      <c r="R61" s="983">
        <f t="shared" si="6"/>
        <v>100</v>
      </c>
    </row>
    <row r="62" spans="2:18" ht="12" customHeight="1" x14ac:dyDescent="0.2">
      <c r="B62" s="675">
        <f t="shared" si="16"/>
        <v>57</v>
      </c>
      <c r="C62" s="691"/>
      <c r="D62" s="691"/>
      <c r="E62" s="568" t="s">
        <v>235</v>
      </c>
      <c r="F62" s="730">
        <v>716</v>
      </c>
      <c r="G62" s="731" t="s">
        <v>838</v>
      </c>
      <c r="H62" s="379"/>
      <c r="I62" s="379"/>
      <c r="J62" s="976"/>
      <c r="K62" s="732"/>
      <c r="L62" s="379">
        <v>500</v>
      </c>
      <c r="M62" s="379">
        <v>500</v>
      </c>
      <c r="N62" s="979">
        <f t="shared" si="10"/>
        <v>100</v>
      </c>
      <c r="O62" s="733"/>
      <c r="P62" s="734">
        <f t="shared" si="22"/>
        <v>500</v>
      </c>
      <c r="Q62" s="734">
        <f t="shared" si="18"/>
        <v>500</v>
      </c>
      <c r="R62" s="983">
        <f t="shared" si="6"/>
        <v>100</v>
      </c>
    </row>
    <row r="63" spans="2:18" ht="12" customHeight="1" x14ac:dyDescent="0.2">
      <c r="B63" s="675">
        <f t="shared" si="16"/>
        <v>58</v>
      </c>
      <c r="C63" s="691"/>
      <c r="D63" s="691"/>
      <c r="E63" s="568" t="s">
        <v>235</v>
      </c>
      <c r="F63" s="730">
        <v>717</v>
      </c>
      <c r="G63" s="731" t="s">
        <v>784</v>
      </c>
      <c r="H63" s="379"/>
      <c r="I63" s="379"/>
      <c r="J63" s="976"/>
      <c r="K63" s="732"/>
      <c r="L63" s="379">
        <f>15000-500+10358+2000</f>
        <v>26858</v>
      </c>
      <c r="M63" s="379">
        <v>26621</v>
      </c>
      <c r="N63" s="979">
        <f t="shared" si="10"/>
        <v>99.117581353786576</v>
      </c>
      <c r="O63" s="733"/>
      <c r="P63" s="734">
        <f t="shared" si="22"/>
        <v>26858</v>
      </c>
      <c r="Q63" s="734">
        <f t="shared" si="18"/>
        <v>26621</v>
      </c>
      <c r="R63" s="983">
        <f t="shared" si="6"/>
        <v>99.117581353786576</v>
      </c>
    </row>
    <row r="64" spans="2:18" ht="12" customHeight="1" x14ac:dyDescent="0.2">
      <c r="B64" s="675">
        <f t="shared" si="16"/>
        <v>59</v>
      </c>
      <c r="C64" s="691"/>
      <c r="D64" s="691"/>
      <c r="E64" s="568" t="s">
        <v>235</v>
      </c>
      <c r="F64" s="730">
        <v>717</v>
      </c>
      <c r="G64" s="731" t="s">
        <v>785</v>
      </c>
      <c r="H64" s="379"/>
      <c r="I64" s="379"/>
      <c r="J64" s="976"/>
      <c r="K64" s="732"/>
      <c r="L64" s="379">
        <f>80000-800-1740+6000+35000</f>
        <v>118460</v>
      </c>
      <c r="M64" s="379">
        <v>117570</v>
      </c>
      <c r="N64" s="979">
        <f t="shared" si="10"/>
        <v>99.248691541448579</v>
      </c>
      <c r="O64" s="733"/>
      <c r="P64" s="734">
        <f t="shared" si="22"/>
        <v>118460</v>
      </c>
      <c r="Q64" s="734">
        <f t="shared" si="18"/>
        <v>117570</v>
      </c>
      <c r="R64" s="983">
        <f t="shared" si="6"/>
        <v>99.248691541448579</v>
      </c>
    </row>
    <row r="65" spans="1:18" ht="12" customHeight="1" x14ac:dyDescent="0.2">
      <c r="B65" s="675">
        <f t="shared" si="16"/>
        <v>60</v>
      </c>
      <c r="C65" s="691"/>
      <c r="D65" s="691"/>
      <c r="E65" s="568" t="s">
        <v>235</v>
      </c>
      <c r="F65" s="730">
        <v>716</v>
      </c>
      <c r="G65" s="731" t="s">
        <v>814</v>
      </c>
      <c r="H65" s="379"/>
      <c r="I65" s="379"/>
      <c r="J65" s="976"/>
      <c r="K65" s="732"/>
      <c r="L65" s="379">
        <v>800</v>
      </c>
      <c r="M65" s="379">
        <v>800</v>
      </c>
      <c r="N65" s="979">
        <f t="shared" si="10"/>
        <v>100</v>
      </c>
      <c r="O65" s="733"/>
      <c r="P65" s="734">
        <f t="shared" si="22"/>
        <v>800</v>
      </c>
      <c r="Q65" s="734">
        <f t="shared" si="18"/>
        <v>800</v>
      </c>
      <c r="R65" s="983">
        <f t="shared" si="6"/>
        <v>100</v>
      </c>
    </row>
    <row r="66" spans="1:18" ht="12" customHeight="1" x14ac:dyDescent="0.2">
      <c r="B66" s="675">
        <f t="shared" si="16"/>
        <v>61</v>
      </c>
      <c r="C66" s="691"/>
      <c r="D66" s="691"/>
      <c r="E66" s="568" t="s">
        <v>235</v>
      </c>
      <c r="F66" s="735">
        <v>717</v>
      </c>
      <c r="G66" s="736" t="s">
        <v>786</v>
      </c>
      <c r="H66" s="737"/>
      <c r="I66" s="737"/>
      <c r="J66" s="976"/>
      <c r="K66" s="738"/>
      <c r="L66" s="737">
        <f>75500+4000</f>
        <v>79500</v>
      </c>
      <c r="M66" s="737">
        <v>12</v>
      </c>
      <c r="N66" s="979">
        <f t="shared" si="10"/>
        <v>1.509433962264151E-2</v>
      </c>
      <c r="O66" s="739"/>
      <c r="P66" s="740">
        <f t="shared" si="22"/>
        <v>79500</v>
      </c>
      <c r="Q66" s="740">
        <f t="shared" si="18"/>
        <v>12</v>
      </c>
      <c r="R66" s="983">
        <f t="shared" si="6"/>
        <v>1.509433962264151E-2</v>
      </c>
    </row>
    <row r="67" spans="1:18" ht="12" customHeight="1" x14ac:dyDescent="0.2">
      <c r="B67" s="675">
        <f t="shared" si="16"/>
        <v>62</v>
      </c>
      <c r="C67" s="691"/>
      <c r="D67" s="691"/>
      <c r="E67" s="568" t="s">
        <v>235</v>
      </c>
      <c r="F67" s="735">
        <v>716</v>
      </c>
      <c r="G67" s="736" t="s">
        <v>787</v>
      </c>
      <c r="H67" s="737"/>
      <c r="I67" s="737"/>
      <c r="J67" s="976"/>
      <c r="K67" s="738"/>
      <c r="L67" s="737">
        <f>4500-3680</f>
        <v>820</v>
      </c>
      <c r="M67" s="737">
        <v>820</v>
      </c>
      <c r="N67" s="979">
        <f t="shared" si="10"/>
        <v>100</v>
      </c>
      <c r="O67" s="739"/>
      <c r="P67" s="740">
        <f t="shared" si="22"/>
        <v>820</v>
      </c>
      <c r="Q67" s="740">
        <f t="shared" si="18"/>
        <v>820</v>
      </c>
      <c r="R67" s="983">
        <f t="shared" si="6"/>
        <v>100</v>
      </c>
    </row>
    <row r="68" spans="1:18" ht="39" customHeight="1" x14ac:dyDescent="0.2">
      <c r="B68" s="675">
        <f t="shared" si="16"/>
        <v>63</v>
      </c>
      <c r="C68" s="691"/>
      <c r="D68" s="691"/>
      <c r="E68" s="488" t="s">
        <v>235</v>
      </c>
      <c r="F68" s="741">
        <v>716</v>
      </c>
      <c r="G68" s="832" t="s">
        <v>800</v>
      </c>
      <c r="H68" s="737"/>
      <c r="I68" s="737"/>
      <c r="J68" s="976"/>
      <c r="K68" s="738"/>
      <c r="L68" s="833">
        <v>900</v>
      </c>
      <c r="M68" s="833">
        <v>300</v>
      </c>
      <c r="N68" s="1016">
        <f t="shared" si="10"/>
        <v>33.333333333333329</v>
      </c>
      <c r="O68" s="739"/>
      <c r="P68" s="746">
        <f t="shared" si="22"/>
        <v>900</v>
      </c>
      <c r="Q68" s="746">
        <f t="shared" si="18"/>
        <v>300</v>
      </c>
      <c r="R68" s="1019">
        <f t="shared" si="6"/>
        <v>33.333333333333329</v>
      </c>
    </row>
    <row r="69" spans="1:18" ht="35.25" customHeight="1" x14ac:dyDescent="0.2">
      <c r="B69" s="675">
        <f t="shared" si="16"/>
        <v>64</v>
      </c>
      <c r="C69" s="706"/>
      <c r="D69" s="706"/>
      <c r="E69" s="707" t="s">
        <v>235</v>
      </c>
      <c r="F69" s="741">
        <v>717</v>
      </c>
      <c r="G69" s="742" t="s">
        <v>800</v>
      </c>
      <c r="H69" s="743"/>
      <c r="I69" s="743"/>
      <c r="J69" s="1015"/>
      <c r="K69" s="744"/>
      <c r="L69" s="743">
        <f>19000-900</f>
        <v>18100</v>
      </c>
      <c r="M69" s="743">
        <v>13229</v>
      </c>
      <c r="N69" s="1017">
        <f t="shared" si="10"/>
        <v>73.088397790055254</v>
      </c>
      <c r="O69" s="745"/>
      <c r="P69" s="746">
        <f t="shared" si="22"/>
        <v>18100</v>
      </c>
      <c r="Q69" s="746">
        <f t="shared" si="18"/>
        <v>13229</v>
      </c>
      <c r="R69" s="1019">
        <f t="shared" si="6"/>
        <v>73.088397790055254</v>
      </c>
    </row>
    <row r="70" spans="1:18" ht="12" customHeight="1" x14ac:dyDescent="0.2">
      <c r="B70" s="675">
        <f t="shared" si="16"/>
        <v>65</v>
      </c>
      <c r="C70" s="691"/>
      <c r="D70" s="691"/>
      <c r="E70" s="704" t="s">
        <v>235</v>
      </c>
      <c r="F70" s="747">
        <v>716</v>
      </c>
      <c r="G70" s="748" t="s">
        <v>801</v>
      </c>
      <c r="H70" s="737"/>
      <c r="I70" s="737"/>
      <c r="J70" s="976"/>
      <c r="K70" s="738"/>
      <c r="L70" s="737">
        <v>1000</v>
      </c>
      <c r="M70" s="737"/>
      <c r="N70" s="979">
        <f t="shared" si="10"/>
        <v>0</v>
      </c>
      <c r="O70" s="739"/>
      <c r="P70" s="740">
        <f t="shared" si="22"/>
        <v>1000</v>
      </c>
      <c r="Q70" s="740">
        <f t="shared" si="18"/>
        <v>0</v>
      </c>
      <c r="R70" s="983">
        <f t="shared" si="6"/>
        <v>0</v>
      </c>
    </row>
    <row r="71" spans="1:18" ht="12" customHeight="1" x14ac:dyDescent="0.2">
      <c r="B71" s="675">
        <f t="shared" si="16"/>
        <v>66</v>
      </c>
      <c r="C71" s="691"/>
      <c r="D71" s="691"/>
      <c r="E71" s="704" t="s">
        <v>235</v>
      </c>
      <c r="F71" s="747">
        <v>717</v>
      </c>
      <c r="G71" s="748" t="s">
        <v>802</v>
      </c>
      <c r="H71" s="737"/>
      <c r="I71" s="737"/>
      <c r="J71" s="976"/>
      <c r="K71" s="738"/>
      <c r="L71" s="737">
        <f>3000+6500</f>
        <v>9500</v>
      </c>
      <c r="M71" s="737">
        <v>9500</v>
      </c>
      <c r="N71" s="979">
        <f t="shared" si="10"/>
        <v>100</v>
      </c>
      <c r="O71" s="739"/>
      <c r="P71" s="740">
        <f t="shared" si="22"/>
        <v>9500</v>
      </c>
      <c r="Q71" s="740">
        <f t="shared" si="18"/>
        <v>9500</v>
      </c>
      <c r="R71" s="983">
        <f t="shared" ref="R71:R74" si="23">Q71/P71*100</f>
        <v>100</v>
      </c>
    </row>
    <row r="72" spans="1:18" ht="12" customHeight="1" x14ac:dyDescent="0.2">
      <c r="B72" s="675">
        <f t="shared" si="16"/>
        <v>67</v>
      </c>
      <c r="C72" s="691"/>
      <c r="D72" s="691"/>
      <c r="E72" s="704" t="s">
        <v>235</v>
      </c>
      <c r="F72" s="747">
        <v>717</v>
      </c>
      <c r="G72" s="748" t="s">
        <v>803</v>
      </c>
      <c r="H72" s="737"/>
      <c r="I72" s="737"/>
      <c r="J72" s="976"/>
      <c r="K72" s="738"/>
      <c r="L72" s="737">
        <f>5000+4493</f>
        <v>9493</v>
      </c>
      <c r="M72" s="737"/>
      <c r="N72" s="979">
        <f t="shared" si="10"/>
        <v>0</v>
      </c>
      <c r="O72" s="739"/>
      <c r="P72" s="740">
        <f t="shared" si="22"/>
        <v>9493</v>
      </c>
      <c r="Q72" s="740">
        <f t="shared" si="18"/>
        <v>0</v>
      </c>
      <c r="R72" s="983">
        <f t="shared" si="23"/>
        <v>0</v>
      </c>
    </row>
    <row r="73" spans="1:18" ht="12" customHeight="1" x14ac:dyDescent="0.2">
      <c r="B73" s="675">
        <f t="shared" si="16"/>
        <v>68</v>
      </c>
      <c r="C73" s="568"/>
      <c r="D73" s="568"/>
      <c r="E73" s="568" t="s">
        <v>235</v>
      </c>
      <c r="F73" s="762">
        <v>717</v>
      </c>
      <c r="G73" s="800" t="s">
        <v>788</v>
      </c>
      <c r="H73" s="750"/>
      <c r="I73" s="750"/>
      <c r="J73" s="870"/>
      <c r="K73" s="801"/>
      <c r="L73" s="750">
        <v>133000</v>
      </c>
      <c r="M73" s="750">
        <v>915</v>
      </c>
      <c r="N73" s="966">
        <f t="shared" si="10"/>
        <v>0.68796992481203012</v>
      </c>
      <c r="O73" s="803"/>
      <c r="P73" s="805">
        <f t="shared" si="21"/>
        <v>133000</v>
      </c>
      <c r="Q73" s="805">
        <f t="shared" si="18"/>
        <v>915</v>
      </c>
      <c r="R73" s="986">
        <f t="shared" si="23"/>
        <v>0.68796992481203012</v>
      </c>
    </row>
    <row r="74" spans="1:18" ht="12" customHeight="1" thickBot="1" x14ac:dyDescent="0.25">
      <c r="B74" s="675">
        <f t="shared" si="16"/>
        <v>69</v>
      </c>
      <c r="C74" s="213"/>
      <c r="D74" s="213"/>
      <c r="E74" s="213" t="s">
        <v>235</v>
      </c>
      <c r="F74" s="213">
        <v>716</v>
      </c>
      <c r="G74" s="527" t="s">
        <v>822</v>
      </c>
      <c r="H74" s="384"/>
      <c r="I74" s="384"/>
      <c r="J74" s="988"/>
      <c r="K74" s="802"/>
      <c r="L74" s="384">
        <v>150000</v>
      </c>
      <c r="M74" s="384"/>
      <c r="N74" s="991">
        <f t="shared" si="10"/>
        <v>0</v>
      </c>
      <c r="O74" s="804"/>
      <c r="P74" s="138">
        <f t="shared" ref="P74" si="24">H74+L74</f>
        <v>150000</v>
      </c>
      <c r="Q74" s="138">
        <f t="shared" si="18"/>
        <v>0</v>
      </c>
      <c r="R74" s="993">
        <f t="shared" si="23"/>
        <v>0</v>
      </c>
    </row>
    <row r="75" spans="1:18" ht="15" customHeight="1" x14ac:dyDescent="0.2">
      <c r="B75" s="534"/>
      <c r="C75" s="535"/>
      <c r="D75" s="242"/>
      <c r="E75" s="242"/>
      <c r="F75" s="242"/>
      <c r="G75" s="242"/>
      <c r="H75" s="25"/>
      <c r="I75" s="25"/>
      <c r="J75" s="25"/>
    </row>
    <row r="76" spans="1:18" ht="15" customHeight="1" x14ac:dyDescent="0.2">
      <c r="A76"/>
      <c r="B76"/>
      <c r="C76"/>
      <c r="G76" s="309" t="s">
        <v>721</v>
      </c>
      <c r="H76" s="17">
        <f>H15+H14+H13+H12+H10+H9+H8</f>
        <v>3315146</v>
      </c>
      <c r="I76" s="17"/>
      <c r="J76" s="17"/>
      <c r="K76"/>
      <c r="L76" s="17">
        <f>L27+L11</f>
        <v>1339802</v>
      </c>
      <c r="M76" s="17"/>
      <c r="N76" s="17"/>
      <c r="O76"/>
      <c r="P76" s="17">
        <f>H76+L76</f>
        <v>4654948</v>
      </c>
    </row>
    <row r="77" spans="1:18" ht="15" customHeight="1" x14ac:dyDescent="0.2">
      <c r="A77"/>
      <c r="B77"/>
      <c r="C77"/>
      <c r="G77" s="677" t="s">
        <v>720</v>
      </c>
      <c r="H77" s="678">
        <f>H16</f>
        <v>53950</v>
      </c>
      <c r="I77" s="678"/>
      <c r="J77" s="678"/>
      <c r="K77" s="679"/>
      <c r="L77" s="679"/>
      <c r="M77" s="921"/>
      <c r="N77" s="921"/>
      <c r="O77"/>
      <c r="P77" s="17">
        <f>H77+L77</f>
        <v>53950</v>
      </c>
    </row>
    <row r="78" spans="1:18" ht="15" customHeight="1" x14ac:dyDescent="0.2">
      <c r="A78"/>
      <c r="B78"/>
      <c r="C78"/>
      <c r="H78"/>
      <c r="I78"/>
      <c r="J78"/>
      <c r="K78"/>
      <c r="L78"/>
      <c r="M78"/>
      <c r="N78"/>
      <c r="O78"/>
      <c r="P78"/>
    </row>
    <row r="79" spans="1:18" ht="15" customHeight="1" x14ac:dyDescent="0.2">
      <c r="A79"/>
      <c r="B79"/>
      <c r="C79"/>
      <c r="H79"/>
      <c r="I79"/>
      <c r="J79"/>
      <c r="K79"/>
      <c r="L79"/>
      <c r="M79"/>
      <c r="N79"/>
      <c r="O79"/>
      <c r="P79"/>
    </row>
    <row r="80" spans="1:18" ht="15" customHeight="1" x14ac:dyDescent="0.2">
      <c r="A80"/>
      <c r="B80"/>
      <c r="C80"/>
      <c r="H80"/>
      <c r="I80"/>
      <c r="J80"/>
      <c r="K80"/>
      <c r="L80"/>
      <c r="M80"/>
      <c r="N80"/>
      <c r="O80"/>
      <c r="P80"/>
    </row>
    <row r="81" spans="1:16" ht="15" customHeight="1" x14ac:dyDescent="0.2">
      <c r="A81"/>
      <c r="B81"/>
      <c r="C81"/>
      <c r="H81" t="s">
        <v>809</v>
      </c>
      <c r="I81"/>
      <c r="J81"/>
      <c r="K81"/>
      <c r="L81" s="17">
        <f>SUM(L28:L73)</f>
        <v>1103882</v>
      </c>
      <c r="M81" s="17"/>
      <c r="N81" s="17"/>
      <c r="O81"/>
      <c r="P81"/>
    </row>
    <row r="82" spans="1:16" ht="15" customHeight="1" x14ac:dyDescent="0.2">
      <c r="A82"/>
      <c r="B82"/>
      <c r="C82"/>
      <c r="H82"/>
      <c r="I82"/>
      <c r="J82"/>
      <c r="K82"/>
      <c r="L82"/>
      <c r="M82"/>
      <c r="N82"/>
      <c r="O82"/>
      <c r="P82"/>
    </row>
    <row r="83" spans="1:16" ht="15" customHeight="1" x14ac:dyDescent="0.2">
      <c r="A83"/>
      <c r="B83"/>
      <c r="C83"/>
      <c r="H83"/>
      <c r="I83"/>
      <c r="J83"/>
      <c r="K83"/>
      <c r="L83"/>
      <c r="M83"/>
      <c r="N83"/>
      <c r="O83"/>
      <c r="P83"/>
    </row>
    <row r="84" spans="1:16" ht="15" customHeight="1" x14ac:dyDescent="0.2">
      <c r="A84"/>
      <c r="B84"/>
      <c r="C84"/>
      <c r="H84"/>
      <c r="I84"/>
      <c r="J84"/>
      <c r="K84"/>
      <c r="L84"/>
      <c r="M84"/>
      <c r="N84"/>
      <c r="O84"/>
      <c r="P84"/>
    </row>
    <row r="85" spans="1:16" ht="15" customHeight="1" x14ac:dyDescent="0.2">
      <c r="A85"/>
      <c r="B85"/>
      <c r="C85"/>
      <c r="H85"/>
      <c r="I85"/>
      <c r="J85"/>
      <c r="K85"/>
      <c r="L85"/>
      <c r="M85"/>
      <c r="N85"/>
      <c r="O85"/>
      <c r="P85"/>
    </row>
    <row r="86" spans="1:16" ht="15" customHeight="1" x14ac:dyDescent="0.2">
      <c r="A86"/>
      <c r="B86"/>
      <c r="C86"/>
      <c r="H86"/>
      <c r="I86"/>
      <c r="J86"/>
      <c r="K86"/>
      <c r="L86"/>
      <c r="M86"/>
      <c r="N86"/>
      <c r="O86"/>
      <c r="P86"/>
    </row>
    <row r="87" spans="1:16" ht="15" customHeight="1" x14ac:dyDescent="0.2">
      <c r="A87"/>
      <c r="B87"/>
      <c r="C87"/>
      <c r="H87"/>
      <c r="I87"/>
      <c r="J87"/>
      <c r="K87"/>
      <c r="L87"/>
      <c r="M87"/>
      <c r="N87"/>
      <c r="O87"/>
      <c r="P87"/>
    </row>
    <row r="88" spans="1:16" ht="15" customHeight="1" x14ac:dyDescent="0.2">
      <c r="A88"/>
      <c r="B88"/>
      <c r="C88"/>
      <c r="H88"/>
      <c r="I88"/>
      <c r="J88"/>
      <c r="K88"/>
      <c r="L88"/>
      <c r="M88"/>
      <c r="N88"/>
      <c r="O88"/>
      <c r="P88"/>
    </row>
    <row r="89" spans="1:16" ht="15" customHeight="1" x14ac:dyDescent="0.2">
      <c r="A89"/>
      <c r="B89"/>
      <c r="C89"/>
      <c r="H89"/>
      <c r="I89"/>
      <c r="J89"/>
      <c r="K89"/>
      <c r="L89"/>
      <c r="M89"/>
      <c r="N89"/>
      <c r="O89"/>
      <c r="P89"/>
    </row>
    <row r="90" spans="1:16" ht="15" customHeight="1" x14ac:dyDescent="0.2">
      <c r="A90"/>
      <c r="B90"/>
      <c r="C90"/>
      <c r="H90"/>
      <c r="I90"/>
      <c r="J90"/>
      <c r="K90"/>
      <c r="L90"/>
      <c r="M90"/>
      <c r="N90"/>
      <c r="O90"/>
      <c r="P90"/>
    </row>
    <row r="91" spans="1:16" ht="15" customHeight="1" x14ac:dyDescent="0.2">
      <c r="A91"/>
      <c r="B91"/>
      <c r="C91"/>
      <c r="H91"/>
      <c r="I91"/>
      <c r="J91"/>
      <c r="K91"/>
      <c r="L91"/>
      <c r="M91"/>
      <c r="N91"/>
      <c r="O91"/>
      <c r="P91"/>
    </row>
    <row r="92" spans="1:16" ht="15" customHeight="1" x14ac:dyDescent="0.2">
      <c r="A92"/>
      <c r="B92"/>
      <c r="C92"/>
      <c r="H92"/>
      <c r="I92"/>
      <c r="J92"/>
      <c r="K92"/>
      <c r="L92"/>
      <c r="M92"/>
      <c r="N92"/>
      <c r="O92"/>
      <c r="P92"/>
    </row>
    <row r="93" spans="1:16" ht="15" customHeight="1" x14ac:dyDescent="0.2">
      <c r="A93"/>
      <c r="B93"/>
      <c r="C93"/>
      <c r="H93"/>
      <c r="I93"/>
      <c r="J93"/>
      <c r="K93"/>
      <c r="L93"/>
      <c r="M93"/>
      <c r="N93"/>
      <c r="O93"/>
      <c r="P93"/>
    </row>
    <row r="94" spans="1:16" ht="15" customHeight="1" x14ac:dyDescent="0.2">
      <c r="A94"/>
      <c r="B94"/>
      <c r="C94"/>
      <c r="H94"/>
      <c r="I94"/>
      <c r="J94"/>
      <c r="K94"/>
      <c r="L94"/>
      <c r="M94"/>
      <c r="N94"/>
      <c r="O94"/>
      <c r="P94"/>
    </row>
    <row r="95" spans="1:16" ht="15" customHeight="1" x14ac:dyDescent="0.2">
      <c r="A95"/>
      <c r="B95"/>
      <c r="C95"/>
      <c r="H95"/>
      <c r="I95"/>
      <c r="J95"/>
      <c r="K95"/>
      <c r="L95"/>
      <c r="M95"/>
      <c r="N95"/>
      <c r="O95"/>
      <c r="P95"/>
    </row>
    <row r="96" spans="1:16" ht="15" customHeight="1" x14ac:dyDescent="0.2">
      <c r="A96"/>
      <c r="B96"/>
      <c r="C96"/>
      <c r="H96"/>
      <c r="I96"/>
      <c r="J96"/>
      <c r="K96"/>
      <c r="L96"/>
      <c r="M96"/>
      <c r="N96"/>
      <c r="O96"/>
      <c r="P96"/>
    </row>
    <row r="97" spans="1:16" ht="15" customHeight="1" x14ac:dyDescent="0.2">
      <c r="A97"/>
      <c r="B97"/>
      <c r="C97"/>
      <c r="H97"/>
      <c r="I97"/>
      <c r="J97"/>
      <c r="K97"/>
      <c r="L97"/>
      <c r="M97"/>
      <c r="N97"/>
      <c r="O97"/>
      <c r="P97"/>
    </row>
    <row r="98" spans="1:16" ht="15" customHeight="1" x14ac:dyDescent="0.2">
      <c r="A98"/>
      <c r="B98"/>
      <c r="C98"/>
      <c r="H98"/>
      <c r="I98"/>
      <c r="J98"/>
      <c r="K98"/>
      <c r="L98"/>
      <c r="M98"/>
      <c r="N98"/>
      <c r="O98"/>
      <c r="P98"/>
    </row>
    <row r="99" spans="1:16" ht="15" customHeight="1" x14ac:dyDescent="0.2">
      <c r="A99"/>
      <c r="B99"/>
      <c r="C99"/>
      <c r="H99"/>
      <c r="I99"/>
      <c r="J99"/>
      <c r="K99"/>
      <c r="L99"/>
      <c r="M99"/>
      <c r="N99"/>
      <c r="O99"/>
      <c r="P99"/>
    </row>
    <row r="100" spans="1:16" ht="15" customHeight="1" x14ac:dyDescent="0.2">
      <c r="A100"/>
      <c r="B100"/>
      <c r="C100"/>
      <c r="H100"/>
      <c r="I100"/>
      <c r="J100"/>
      <c r="K100"/>
      <c r="L100"/>
      <c r="M100"/>
      <c r="N100"/>
      <c r="O100"/>
      <c r="P100"/>
    </row>
    <row r="101" spans="1:16" ht="15" customHeight="1" x14ac:dyDescent="0.2">
      <c r="A101"/>
      <c r="B101"/>
      <c r="C101"/>
      <c r="H101"/>
      <c r="I101"/>
      <c r="J101"/>
      <c r="K101"/>
      <c r="L101"/>
      <c r="M101"/>
      <c r="N101"/>
      <c r="O101"/>
      <c r="P101"/>
    </row>
    <row r="102" spans="1:16" ht="15" customHeight="1" x14ac:dyDescent="0.2">
      <c r="A102"/>
      <c r="B102"/>
      <c r="C102"/>
      <c r="H102"/>
      <c r="I102"/>
      <c r="J102"/>
      <c r="K102"/>
      <c r="L102"/>
      <c r="M102"/>
      <c r="N102"/>
      <c r="O102"/>
      <c r="P102"/>
    </row>
    <row r="103" spans="1:16" ht="15" customHeight="1" x14ac:dyDescent="0.2">
      <c r="A103"/>
      <c r="B103"/>
      <c r="C103"/>
      <c r="H103"/>
      <c r="I103"/>
      <c r="J103"/>
      <c r="K103"/>
      <c r="L103"/>
      <c r="M103"/>
      <c r="N103"/>
      <c r="O103"/>
      <c r="P103"/>
    </row>
    <row r="104" spans="1:16" ht="11.25" customHeight="1" x14ac:dyDescent="0.2">
      <c r="A104"/>
      <c r="B104"/>
      <c r="C104"/>
      <c r="H104"/>
      <c r="I104"/>
      <c r="J104"/>
      <c r="K104"/>
      <c r="L104"/>
      <c r="M104"/>
      <c r="N104"/>
      <c r="O104"/>
      <c r="P104"/>
    </row>
    <row r="105" spans="1:16" ht="27.75" customHeight="1" x14ac:dyDescent="0.2">
      <c r="A105"/>
      <c r="B105"/>
      <c r="C105"/>
      <c r="H105"/>
      <c r="I105"/>
      <c r="J105"/>
      <c r="K105"/>
      <c r="L105"/>
      <c r="M105"/>
      <c r="N105"/>
      <c r="O105"/>
      <c r="P105"/>
    </row>
    <row r="106" spans="1:16" ht="19.5" customHeight="1" x14ac:dyDescent="0.2">
      <c r="A106"/>
      <c r="B106"/>
      <c r="C106"/>
      <c r="H106"/>
      <c r="I106"/>
      <c r="J106"/>
      <c r="K106"/>
      <c r="L106"/>
      <c r="M106"/>
      <c r="N106"/>
      <c r="O106"/>
      <c r="P106"/>
    </row>
    <row r="107" spans="1:16" ht="42.75" customHeight="1" x14ac:dyDescent="0.2">
      <c r="A107"/>
      <c r="B107"/>
      <c r="C107"/>
      <c r="H107"/>
      <c r="I107"/>
      <c r="J107"/>
      <c r="K107"/>
      <c r="L107"/>
      <c r="M107"/>
      <c r="N107"/>
      <c r="O107"/>
      <c r="P107"/>
    </row>
    <row r="108" spans="1:16" ht="26.25" customHeight="1" x14ac:dyDescent="0.2">
      <c r="A108"/>
      <c r="B108"/>
      <c r="C108"/>
      <c r="H108"/>
      <c r="I108"/>
      <c r="J108"/>
      <c r="K108"/>
      <c r="L108"/>
      <c r="M108"/>
      <c r="N108"/>
      <c r="O108"/>
      <c r="P108"/>
    </row>
    <row r="109" spans="1:16" x14ac:dyDescent="0.2">
      <c r="A109"/>
      <c r="B109"/>
      <c r="C109"/>
      <c r="H109"/>
      <c r="I109"/>
      <c r="J109"/>
      <c r="K109"/>
      <c r="L109"/>
      <c r="M109"/>
      <c r="N109"/>
      <c r="O109"/>
      <c r="P109"/>
    </row>
    <row r="110" spans="1:16" ht="15" customHeight="1" x14ac:dyDescent="0.2">
      <c r="A110"/>
      <c r="B110"/>
      <c r="C110"/>
      <c r="H110"/>
      <c r="I110"/>
      <c r="J110"/>
      <c r="K110"/>
      <c r="L110"/>
      <c r="M110"/>
      <c r="N110"/>
      <c r="O110"/>
      <c r="P110"/>
    </row>
    <row r="111" spans="1:16" ht="15" customHeight="1" x14ac:dyDescent="0.2">
      <c r="A111"/>
      <c r="B111"/>
      <c r="C111"/>
      <c r="H111"/>
      <c r="I111"/>
      <c r="J111"/>
      <c r="K111"/>
      <c r="L111"/>
      <c r="M111"/>
      <c r="N111"/>
      <c r="O111"/>
      <c r="P111"/>
    </row>
    <row r="112" spans="1:16" x14ac:dyDescent="0.2">
      <c r="A112"/>
      <c r="B112"/>
      <c r="C112"/>
      <c r="H112"/>
      <c r="I112"/>
      <c r="J112"/>
      <c r="K112"/>
      <c r="L112"/>
      <c r="M112"/>
      <c r="N112"/>
      <c r="O112"/>
      <c r="P112"/>
    </row>
    <row r="113" spans="1:16" ht="12" customHeight="1" x14ac:dyDescent="0.2">
      <c r="A113"/>
      <c r="B113"/>
      <c r="C113"/>
      <c r="H113"/>
      <c r="I113"/>
      <c r="J113"/>
      <c r="K113"/>
      <c r="L113"/>
      <c r="M113"/>
      <c r="N113"/>
      <c r="O113"/>
      <c r="P113"/>
    </row>
    <row r="114" spans="1:16" ht="12" customHeight="1" x14ac:dyDescent="0.2">
      <c r="A114"/>
      <c r="B114"/>
      <c r="C114"/>
      <c r="H114"/>
      <c r="I114"/>
      <c r="J114"/>
      <c r="K114"/>
      <c r="L114"/>
      <c r="M114"/>
      <c r="N114"/>
      <c r="O114"/>
      <c r="P114"/>
    </row>
    <row r="115" spans="1:16" ht="12" customHeight="1" x14ac:dyDescent="0.2">
      <c r="A115"/>
      <c r="B115"/>
      <c r="C115"/>
      <c r="H115"/>
      <c r="I115"/>
      <c r="J115"/>
      <c r="K115"/>
      <c r="L115"/>
      <c r="M115"/>
      <c r="N115"/>
      <c r="O115"/>
      <c r="P115"/>
    </row>
    <row r="116" spans="1:16" ht="12" customHeight="1" x14ac:dyDescent="0.2">
      <c r="A116"/>
      <c r="B116"/>
      <c r="C116"/>
      <c r="H116"/>
      <c r="I116"/>
      <c r="J116"/>
      <c r="K116"/>
      <c r="L116"/>
      <c r="M116"/>
      <c r="N116"/>
      <c r="O116"/>
      <c r="P116"/>
    </row>
    <row r="117" spans="1:16" ht="12" customHeight="1" x14ac:dyDescent="0.2">
      <c r="A117"/>
      <c r="B117"/>
      <c r="C117"/>
      <c r="H117"/>
      <c r="I117"/>
      <c r="J117"/>
      <c r="K117"/>
      <c r="L117"/>
      <c r="M117"/>
      <c r="N117"/>
      <c r="O117"/>
      <c r="P117"/>
    </row>
    <row r="118" spans="1:16" ht="12" customHeight="1" x14ac:dyDescent="0.2">
      <c r="A118"/>
      <c r="B118"/>
      <c r="C118"/>
      <c r="H118"/>
      <c r="I118"/>
      <c r="J118"/>
      <c r="K118"/>
      <c r="L118"/>
      <c r="M118"/>
      <c r="N118"/>
      <c r="O118"/>
      <c r="P118"/>
    </row>
    <row r="119" spans="1:16" ht="15" customHeight="1" x14ac:dyDescent="0.2">
      <c r="A119"/>
      <c r="B119"/>
      <c r="C119"/>
      <c r="H119"/>
      <c r="I119"/>
      <c r="J119"/>
      <c r="K119"/>
      <c r="L119"/>
      <c r="M119"/>
      <c r="N119"/>
      <c r="O119"/>
      <c r="P119"/>
    </row>
    <row r="120" spans="1:16" x14ac:dyDescent="0.2">
      <c r="A120"/>
      <c r="B120"/>
      <c r="C120"/>
      <c r="H120"/>
      <c r="I120"/>
      <c r="J120"/>
      <c r="K120"/>
      <c r="L120"/>
      <c r="M120"/>
      <c r="N120"/>
      <c r="O120"/>
      <c r="P120"/>
    </row>
    <row r="121" spans="1:16" ht="12" customHeight="1" x14ac:dyDescent="0.2">
      <c r="A121"/>
      <c r="B121"/>
      <c r="C121"/>
      <c r="H121"/>
      <c r="I121"/>
      <c r="J121"/>
      <c r="K121"/>
      <c r="L121"/>
      <c r="M121"/>
      <c r="N121"/>
      <c r="O121"/>
      <c r="P121"/>
    </row>
    <row r="122" spans="1:16" ht="12" customHeight="1" x14ac:dyDescent="0.2">
      <c r="A122"/>
      <c r="B122"/>
      <c r="C122"/>
      <c r="H122"/>
      <c r="I122"/>
      <c r="J122"/>
      <c r="K122"/>
      <c r="L122"/>
      <c r="M122"/>
      <c r="N122"/>
      <c r="O122"/>
      <c r="P122"/>
    </row>
    <row r="123" spans="1:16" ht="12" customHeight="1" x14ac:dyDescent="0.2">
      <c r="A123"/>
      <c r="B123"/>
      <c r="C123"/>
      <c r="H123"/>
      <c r="I123"/>
      <c r="J123"/>
      <c r="K123"/>
      <c r="L123"/>
      <c r="M123"/>
      <c r="N123"/>
      <c r="O123"/>
      <c r="P123"/>
    </row>
    <row r="124" spans="1:16" ht="12" customHeight="1" x14ac:dyDescent="0.2">
      <c r="A124"/>
      <c r="B124"/>
      <c r="C124"/>
      <c r="H124"/>
      <c r="I124"/>
      <c r="J124"/>
      <c r="K124"/>
      <c r="L124"/>
      <c r="M124"/>
      <c r="N124"/>
      <c r="O124"/>
      <c r="P124"/>
    </row>
    <row r="125" spans="1:16" ht="12" customHeight="1" x14ac:dyDescent="0.2">
      <c r="A125"/>
      <c r="B125"/>
      <c r="C125"/>
      <c r="H125"/>
      <c r="I125"/>
      <c r="J125"/>
      <c r="K125"/>
      <c r="L125"/>
      <c r="M125"/>
      <c r="N125"/>
      <c r="O125"/>
      <c r="P125"/>
    </row>
    <row r="126" spans="1:16" ht="12" customHeight="1" x14ac:dyDescent="0.2">
      <c r="A126"/>
      <c r="B126"/>
      <c r="C126"/>
      <c r="H126"/>
      <c r="I126"/>
      <c r="J126"/>
      <c r="K126"/>
      <c r="L126"/>
      <c r="M126"/>
      <c r="N126"/>
      <c r="O126"/>
      <c r="P126"/>
    </row>
    <row r="127" spans="1:16" ht="12" customHeight="1" x14ac:dyDescent="0.2">
      <c r="A127"/>
      <c r="B127"/>
      <c r="C127"/>
      <c r="H127"/>
      <c r="I127"/>
      <c r="J127"/>
      <c r="K127"/>
      <c r="L127"/>
      <c r="M127"/>
      <c r="N127"/>
      <c r="O127"/>
      <c r="P127"/>
    </row>
    <row r="128" spans="1:16" x14ac:dyDescent="0.2">
      <c r="A128"/>
      <c r="B128"/>
      <c r="C128"/>
      <c r="H128"/>
      <c r="I128"/>
      <c r="J128"/>
      <c r="K128"/>
      <c r="L128"/>
      <c r="M128"/>
      <c r="N128"/>
      <c r="O128"/>
      <c r="P128"/>
    </row>
    <row r="129" spans="1:16" x14ac:dyDescent="0.2">
      <c r="A129"/>
      <c r="B129"/>
      <c r="C129"/>
      <c r="H129"/>
      <c r="I129"/>
      <c r="J129"/>
      <c r="K129"/>
      <c r="L129"/>
      <c r="M129"/>
      <c r="N129"/>
      <c r="O129"/>
      <c r="P129"/>
    </row>
    <row r="130" spans="1:16" x14ac:dyDescent="0.2">
      <c r="A130"/>
      <c r="B130"/>
      <c r="C130"/>
      <c r="H130"/>
      <c r="I130"/>
      <c r="J130"/>
      <c r="K130"/>
      <c r="L130"/>
      <c r="M130"/>
      <c r="N130"/>
      <c r="O130"/>
      <c r="P130"/>
    </row>
    <row r="131" spans="1:16" ht="12" customHeight="1" x14ac:dyDescent="0.2">
      <c r="A131"/>
      <c r="B131"/>
      <c r="C131"/>
      <c r="H131"/>
      <c r="I131"/>
      <c r="J131"/>
      <c r="K131"/>
      <c r="L131"/>
      <c r="M131"/>
      <c r="N131"/>
      <c r="O131"/>
      <c r="P131"/>
    </row>
    <row r="132" spans="1:16" ht="12" customHeight="1" x14ac:dyDescent="0.2">
      <c r="A132"/>
      <c r="B132"/>
      <c r="C132"/>
      <c r="H132"/>
      <c r="I132"/>
      <c r="J132"/>
      <c r="K132"/>
      <c r="L132"/>
      <c r="M132"/>
      <c r="N132"/>
      <c r="O132"/>
      <c r="P132"/>
    </row>
    <row r="133" spans="1:16" ht="12" customHeight="1" x14ac:dyDescent="0.2">
      <c r="A133"/>
      <c r="B133"/>
      <c r="C133"/>
      <c r="H133"/>
      <c r="I133"/>
      <c r="J133"/>
      <c r="K133"/>
      <c r="L133"/>
      <c r="M133"/>
      <c r="N133"/>
      <c r="O133"/>
      <c r="P133"/>
    </row>
    <row r="134" spans="1:16" ht="12" customHeight="1" x14ac:dyDescent="0.2">
      <c r="A134"/>
      <c r="B134"/>
      <c r="C134"/>
      <c r="H134"/>
      <c r="I134"/>
      <c r="J134"/>
      <c r="K134"/>
      <c r="L134"/>
      <c r="M134"/>
      <c r="N134"/>
      <c r="O134"/>
      <c r="P134"/>
    </row>
    <row r="135" spans="1:16" ht="12" customHeight="1" x14ac:dyDescent="0.2">
      <c r="A135"/>
      <c r="B135"/>
      <c r="C135"/>
      <c r="H135"/>
      <c r="I135"/>
      <c r="J135"/>
      <c r="K135"/>
      <c r="L135"/>
      <c r="M135"/>
      <c r="N135"/>
      <c r="O135"/>
      <c r="P135"/>
    </row>
    <row r="136" spans="1:16" x14ac:dyDescent="0.2">
      <c r="A136"/>
      <c r="B136"/>
      <c r="C136"/>
      <c r="H136"/>
      <c r="I136"/>
      <c r="J136"/>
      <c r="K136"/>
      <c r="L136"/>
      <c r="M136"/>
      <c r="N136"/>
      <c r="O136"/>
      <c r="P136"/>
    </row>
    <row r="137" spans="1:16" x14ac:dyDescent="0.2">
      <c r="A137"/>
      <c r="B137"/>
      <c r="C137"/>
      <c r="H137"/>
      <c r="I137"/>
      <c r="J137"/>
      <c r="K137"/>
      <c r="L137"/>
      <c r="M137"/>
      <c r="N137"/>
      <c r="O137"/>
      <c r="P137"/>
    </row>
    <row r="138" spans="1:16" ht="12" customHeight="1" x14ac:dyDescent="0.2">
      <c r="A138"/>
      <c r="B138"/>
      <c r="C138"/>
      <c r="H138"/>
      <c r="I138"/>
      <c r="J138"/>
      <c r="K138"/>
      <c r="L138"/>
      <c r="M138"/>
      <c r="N138"/>
      <c r="O138"/>
      <c r="P138"/>
    </row>
    <row r="139" spans="1:16" ht="12" customHeight="1" x14ac:dyDescent="0.2">
      <c r="A139"/>
      <c r="B139"/>
      <c r="C139"/>
      <c r="H139"/>
      <c r="I139"/>
      <c r="J139"/>
      <c r="K139"/>
      <c r="L139"/>
      <c r="M139"/>
      <c r="N139"/>
      <c r="O139"/>
      <c r="P139"/>
    </row>
    <row r="140" spans="1:16" ht="12" customHeight="1" x14ac:dyDescent="0.2">
      <c r="A140"/>
      <c r="B140"/>
      <c r="C140"/>
      <c r="H140"/>
      <c r="I140"/>
      <c r="J140"/>
      <c r="K140"/>
      <c r="L140"/>
      <c r="M140"/>
      <c r="N140"/>
      <c r="O140"/>
      <c r="P140"/>
    </row>
    <row r="141" spans="1:16" ht="12" customHeight="1" x14ac:dyDescent="0.2">
      <c r="A141"/>
      <c r="B141"/>
      <c r="C141"/>
      <c r="H141"/>
      <c r="I141"/>
      <c r="J141"/>
      <c r="K141"/>
      <c r="L141"/>
      <c r="M141"/>
      <c r="N141"/>
      <c r="O141"/>
      <c r="P141"/>
    </row>
    <row r="142" spans="1:16" ht="12" customHeight="1" x14ac:dyDescent="0.2">
      <c r="A142"/>
      <c r="B142"/>
      <c r="C142"/>
      <c r="H142"/>
      <c r="I142"/>
      <c r="J142"/>
      <c r="K142"/>
      <c r="L142"/>
      <c r="M142"/>
      <c r="N142"/>
      <c r="O142"/>
      <c r="P142"/>
    </row>
    <row r="143" spans="1:16" ht="12" customHeight="1" x14ac:dyDescent="0.2">
      <c r="A143"/>
      <c r="B143"/>
      <c r="C143"/>
      <c r="H143"/>
      <c r="I143"/>
      <c r="J143"/>
      <c r="K143"/>
      <c r="L143"/>
      <c r="M143"/>
      <c r="N143"/>
      <c r="O143"/>
      <c r="P143"/>
    </row>
    <row r="144" spans="1:16" x14ac:dyDescent="0.2">
      <c r="A144"/>
      <c r="B144"/>
      <c r="C144"/>
      <c r="H144"/>
      <c r="I144"/>
      <c r="J144"/>
      <c r="K144"/>
      <c r="L144"/>
      <c r="M144"/>
      <c r="N144"/>
      <c r="O144"/>
      <c r="P144"/>
    </row>
    <row r="145" spans="1:16" x14ac:dyDescent="0.2">
      <c r="A145"/>
      <c r="B145"/>
      <c r="C145"/>
      <c r="H145"/>
      <c r="I145"/>
      <c r="J145"/>
      <c r="K145"/>
      <c r="L145"/>
      <c r="M145"/>
      <c r="N145"/>
      <c r="O145"/>
      <c r="P145"/>
    </row>
    <row r="146" spans="1:16" x14ac:dyDescent="0.2">
      <c r="A146"/>
      <c r="B146"/>
      <c r="C146"/>
      <c r="H146"/>
      <c r="I146"/>
      <c r="J146"/>
      <c r="K146"/>
      <c r="L146"/>
      <c r="M146"/>
      <c r="N146"/>
      <c r="O146"/>
      <c r="P146"/>
    </row>
    <row r="147" spans="1:16" ht="12" customHeight="1" x14ac:dyDescent="0.2">
      <c r="A147"/>
      <c r="B147"/>
      <c r="C147"/>
      <c r="H147"/>
      <c r="I147"/>
      <c r="J147"/>
      <c r="K147"/>
      <c r="L147"/>
      <c r="M147"/>
      <c r="N147"/>
      <c r="O147"/>
      <c r="P147"/>
    </row>
    <row r="148" spans="1:16" ht="12" customHeight="1" x14ac:dyDescent="0.2">
      <c r="A148"/>
      <c r="B148"/>
      <c r="C148"/>
      <c r="H148"/>
      <c r="I148"/>
      <c r="J148"/>
      <c r="K148"/>
      <c r="L148"/>
      <c r="M148"/>
      <c r="N148"/>
      <c r="O148"/>
      <c r="P148"/>
    </row>
    <row r="149" spans="1:16" ht="12" customHeight="1" x14ac:dyDescent="0.2">
      <c r="A149"/>
      <c r="B149"/>
      <c r="C149"/>
      <c r="H149"/>
      <c r="I149"/>
      <c r="J149"/>
      <c r="K149"/>
      <c r="L149"/>
      <c r="M149"/>
      <c r="N149"/>
      <c r="O149"/>
      <c r="P149"/>
    </row>
    <row r="150" spans="1:16" ht="12" customHeight="1" x14ac:dyDescent="0.2">
      <c r="A150"/>
      <c r="B150"/>
      <c r="C150"/>
      <c r="H150"/>
      <c r="I150"/>
      <c r="J150"/>
      <c r="K150"/>
      <c r="L150"/>
      <c r="M150"/>
      <c r="N150"/>
      <c r="O150"/>
      <c r="P150"/>
    </row>
    <row r="151" spans="1:16" ht="12" customHeight="1" x14ac:dyDescent="0.2">
      <c r="A151"/>
      <c r="B151"/>
      <c r="C151"/>
      <c r="H151"/>
      <c r="I151"/>
      <c r="J151"/>
      <c r="K151"/>
      <c r="L151"/>
      <c r="M151"/>
      <c r="N151"/>
      <c r="O151"/>
      <c r="P151"/>
    </row>
    <row r="152" spans="1:16" x14ac:dyDescent="0.2">
      <c r="A152"/>
      <c r="B152"/>
      <c r="C152"/>
      <c r="H152"/>
      <c r="I152"/>
      <c r="J152"/>
      <c r="K152"/>
      <c r="L152"/>
      <c r="M152"/>
      <c r="N152"/>
      <c r="O152"/>
      <c r="P152"/>
    </row>
    <row r="153" spans="1:16" x14ac:dyDescent="0.2">
      <c r="A153"/>
      <c r="B153"/>
      <c r="C153"/>
      <c r="H153"/>
      <c r="I153"/>
      <c r="J153"/>
      <c r="K153"/>
      <c r="L153"/>
      <c r="M153"/>
      <c r="N153"/>
      <c r="O153"/>
      <c r="P153"/>
    </row>
    <row r="154" spans="1:16" x14ac:dyDescent="0.2">
      <c r="A154"/>
      <c r="B154"/>
      <c r="C154"/>
      <c r="H154"/>
      <c r="I154"/>
      <c r="J154"/>
      <c r="K154"/>
      <c r="L154"/>
      <c r="M154"/>
      <c r="N154"/>
      <c r="O154"/>
      <c r="P154"/>
    </row>
    <row r="155" spans="1:16" ht="12" customHeight="1" x14ac:dyDescent="0.2">
      <c r="A155"/>
      <c r="B155"/>
      <c r="C155"/>
      <c r="H155"/>
      <c r="I155"/>
      <c r="J155"/>
      <c r="K155"/>
      <c r="L155"/>
      <c r="M155"/>
      <c r="N155"/>
      <c r="O155"/>
      <c r="P155"/>
    </row>
    <row r="156" spans="1:16" ht="12" customHeight="1" x14ac:dyDescent="0.2">
      <c r="A156"/>
      <c r="B156"/>
      <c r="C156"/>
      <c r="H156"/>
      <c r="I156"/>
      <c r="J156"/>
      <c r="K156"/>
      <c r="L156"/>
      <c r="M156"/>
      <c r="N156"/>
      <c r="O156"/>
      <c r="P156"/>
    </row>
    <row r="157" spans="1:16" ht="12" customHeight="1" x14ac:dyDescent="0.2">
      <c r="A157"/>
      <c r="B157"/>
      <c r="C157"/>
      <c r="H157"/>
      <c r="I157"/>
      <c r="J157"/>
      <c r="K157"/>
      <c r="L157"/>
      <c r="M157"/>
      <c r="N157"/>
      <c r="O157"/>
      <c r="P157"/>
    </row>
    <row r="158" spans="1:16" ht="12" customHeight="1" x14ac:dyDescent="0.2">
      <c r="A158"/>
      <c r="B158"/>
      <c r="C158"/>
      <c r="H158"/>
      <c r="I158"/>
      <c r="J158"/>
      <c r="K158"/>
      <c r="L158"/>
      <c r="M158"/>
      <c r="N158"/>
      <c r="O158"/>
      <c r="P158"/>
    </row>
    <row r="159" spans="1:16" ht="12" customHeight="1" x14ac:dyDescent="0.2">
      <c r="A159"/>
      <c r="B159"/>
      <c r="C159"/>
      <c r="H159"/>
      <c r="I159"/>
      <c r="J159"/>
      <c r="K159"/>
      <c r="L159"/>
      <c r="M159"/>
      <c r="N159"/>
      <c r="O159"/>
      <c r="P159"/>
    </row>
    <row r="160" spans="1:16" x14ac:dyDescent="0.2">
      <c r="A160"/>
      <c r="B160"/>
      <c r="C160"/>
      <c r="H160"/>
      <c r="I160"/>
      <c r="J160"/>
      <c r="K160"/>
      <c r="L160"/>
      <c r="M160"/>
      <c r="N160"/>
      <c r="O160"/>
      <c r="P160"/>
    </row>
    <row r="161" spans="1:16" x14ac:dyDescent="0.2">
      <c r="A161"/>
      <c r="B161"/>
      <c r="C161"/>
      <c r="H161"/>
      <c r="I161"/>
      <c r="J161"/>
      <c r="K161"/>
      <c r="L161"/>
      <c r="M161"/>
      <c r="N161"/>
      <c r="O161"/>
      <c r="P161"/>
    </row>
    <row r="162" spans="1:16" x14ac:dyDescent="0.2">
      <c r="A162"/>
      <c r="B162"/>
      <c r="C162"/>
      <c r="H162"/>
      <c r="I162"/>
      <c r="J162"/>
      <c r="K162"/>
      <c r="L162"/>
      <c r="M162"/>
      <c r="N162"/>
      <c r="O162"/>
      <c r="P162"/>
    </row>
    <row r="163" spans="1:16" ht="12" customHeight="1" x14ac:dyDescent="0.2">
      <c r="A163"/>
      <c r="B163"/>
      <c r="C163"/>
      <c r="H163"/>
      <c r="I163"/>
      <c r="J163"/>
      <c r="K163"/>
      <c r="L163"/>
      <c r="M163"/>
      <c r="N163"/>
      <c r="O163"/>
      <c r="P163"/>
    </row>
    <row r="164" spans="1:16" ht="12" customHeight="1" x14ac:dyDescent="0.2">
      <c r="A164"/>
      <c r="B164"/>
      <c r="C164"/>
      <c r="H164"/>
      <c r="I164"/>
      <c r="J164"/>
      <c r="K164"/>
      <c r="L164"/>
      <c r="M164"/>
      <c r="N164"/>
      <c r="O164"/>
      <c r="P164"/>
    </row>
    <row r="165" spans="1:16" ht="12" customHeight="1" x14ac:dyDescent="0.2">
      <c r="A165"/>
      <c r="B165"/>
      <c r="C165"/>
      <c r="H165"/>
      <c r="I165"/>
      <c r="J165"/>
      <c r="K165"/>
      <c r="L165"/>
      <c r="M165"/>
      <c r="N165"/>
      <c r="O165"/>
      <c r="P165"/>
    </row>
    <row r="166" spans="1:16" ht="12" customHeight="1" x14ac:dyDescent="0.2">
      <c r="A166"/>
      <c r="B166"/>
      <c r="C166"/>
      <c r="H166"/>
      <c r="I166"/>
      <c r="J166"/>
      <c r="K166"/>
      <c r="L166"/>
      <c r="M166"/>
      <c r="N166"/>
      <c r="O166"/>
      <c r="P166"/>
    </row>
    <row r="167" spans="1:16" ht="12" customHeight="1" x14ac:dyDescent="0.2">
      <c r="A167"/>
      <c r="B167"/>
      <c r="C167"/>
      <c r="H167"/>
      <c r="I167"/>
      <c r="J167"/>
      <c r="K167"/>
      <c r="L167"/>
      <c r="M167"/>
      <c r="N167"/>
      <c r="O167"/>
      <c r="P167"/>
    </row>
    <row r="168" spans="1:16" ht="12" customHeight="1" x14ac:dyDescent="0.2">
      <c r="A168"/>
      <c r="B168"/>
      <c r="C168"/>
      <c r="H168"/>
      <c r="I168"/>
      <c r="J168"/>
      <c r="K168"/>
      <c r="L168"/>
      <c r="M168"/>
      <c r="N168"/>
      <c r="O168"/>
      <c r="P168"/>
    </row>
    <row r="169" spans="1:16" x14ac:dyDescent="0.2">
      <c r="A169"/>
      <c r="B169"/>
      <c r="C169"/>
      <c r="H169"/>
      <c r="I169"/>
      <c r="J169"/>
      <c r="K169"/>
      <c r="L169"/>
      <c r="M169"/>
      <c r="N169"/>
      <c r="O169"/>
      <c r="P169"/>
    </row>
    <row r="170" spans="1:16" x14ac:dyDescent="0.2">
      <c r="A170"/>
      <c r="B170"/>
      <c r="C170"/>
      <c r="H170"/>
      <c r="I170"/>
      <c r="J170"/>
      <c r="K170"/>
      <c r="L170"/>
      <c r="M170"/>
      <c r="N170"/>
      <c r="O170"/>
      <c r="P170"/>
    </row>
    <row r="171" spans="1:16" x14ac:dyDescent="0.2">
      <c r="A171"/>
      <c r="B171"/>
      <c r="C171"/>
      <c r="H171"/>
      <c r="I171"/>
      <c r="J171"/>
      <c r="K171"/>
      <c r="L171"/>
      <c r="M171"/>
      <c r="N171"/>
      <c r="O171"/>
      <c r="P171"/>
    </row>
    <row r="172" spans="1:16" ht="12" customHeight="1" x14ac:dyDescent="0.2">
      <c r="A172"/>
      <c r="B172"/>
      <c r="C172"/>
      <c r="H172"/>
      <c r="I172"/>
      <c r="J172"/>
      <c r="K172"/>
      <c r="L172"/>
      <c r="M172"/>
      <c r="N172"/>
      <c r="O172"/>
      <c r="P172"/>
    </row>
    <row r="173" spans="1:16" ht="12" customHeight="1" x14ac:dyDescent="0.2">
      <c r="A173"/>
      <c r="B173"/>
      <c r="C173"/>
      <c r="H173"/>
      <c r="I173"/>
      <c r="J173"/>
      <c r="K173"/>
      <c r="L173"/>
      <c r="M173"/>
      <c r="N173"/>
      <c r="O173"/>
      <c r="P173"/>
    </row>
    <row r="174" spans="1:16" ht="12" customHeight="1" x14ac:dyDescent="0.2">
      <c r="A174"/>
      <c r="B174"/>
      <c r="C174"/>
      <c r="H174"/>
      <c r="I174"/>
      <c r="J174"/>
      <c r="K174"/>
      <c r="L174"/>
      <c r="M174"/>
      <c r="N174"/>
      <c r="O174"/>
      <c r="P174"/>
    </row>
    <row r="175" spans="1:16" ht="12" customHeight="1" x14ac:dyDescent="0.2">
      <c r="A175"/>
      <c r="B175"/>
      <c r="C175"/>
      <c r="H175"/>
      <c r="I175"/>
      <c r="J175"/>
      <c r="K175"/>
      <c r="L175"/>
      <c r="M175"/>
      <c r="N175"/>
      <c r="O175"/>
      <c r="P175"/>
    </row>
    <row r="176" spans="1:16" ht="12" customHeight="1" x14ac:dyDescent="0.2">
      <c r="A176"/>
      <c r="B176"/>
      <c r="C176"/>
      <c r="H176"/>
      <c r="I176"/>
      <c r="J176"/>
      <c r="K176"/>
      <c r="L176"/>
      <c r="M176"/>
      <c r="N176"/>
      <c r="O176"/>
      <c r="P176"/>
    </row>
    <row r="177" spans="1:16" x14ac:dyDescent="0.2">
      <c r="A177"/>
      <c r="B177"/>
      <c r="C177"/>
      <c r="H177"/>
      <c r="I177"/>
      <c r="J177"/>
      <c r="K177"/>
      <c r="L177"/>
      <c r="M177"/>
      <c r="N177"/>
      <c r="O177"/>
      <c r="P177"/>
    </row>
    <row r="178" spans="1:16" x14ac:dyDescent="0.2">
      <c r="A178"/>
      <c r="B178"/>
      <c r="C178"/>
      <c r="H178"/>
      <c r="I178"/>
      <c r="J178"/>
      <c r="K178"/>
      <c r="L178"/>
      <c r="M178"/>
      <c r="N178"/>
      <c r="O178"/>
      <c r="P178"/>
    </row>
    <row r="179" spans="1:16" x14ac:dyDescent="0.2">
      <c r="A179"/>
      <c r="B179"/>
      <c r="C179"/>
      <c r="H179"/>
      <c r="I179"/>
      <c r="J179"/>
      <c r="K179"/>
      <c r="L179"/>
      <c r="M179"/>
      <c r="N179"/>
      <c r="O179"/>
      <c r="P179"/>
    </row>
    <row r="180" spans="1:16" ht="12" customHeight="1" x14ac:dyDescent="0.2">
      <c r="A180"/>
      <c r="B180"/>
      <c r="C180"/>
      <c r="H180"/>
      <c r="I180"/>
      <c r="J180"/>
      <c r="K180"/>
      <c r="L180"/>
      <c r="M180"/>
      <c r="N180"/>
      <c r="O180"/>
      <c r="P180"/>
    </row>
    <row r="181" spans="1:16" ht="12" customHeight="1" x14ac:dyDescent="0.2">
      <c r="A181"/>
      <c r="B181"/>
      <c r="C181"/>
      <c r="H181"/>
      <c r="I181"/>
      <c r="J181"/>
      <c r="K181"/>
      <c r="L181"/>
      <c r="M181"/>
      <c r="N181"/>
      <c r="O181"/>
      <c r="P181"/>
    </row>
    <row r="182" spans="1:16" ht="12" customHeight="1" x14ac:dyDescent="0.2">
      <c r="A182"/>
      <c r="B182"/>
      <c r="C182"/>
      <c r="H182"/>
      <c r="I182"/>
      <c r="J182"/>
      <c r="K182"/>
      <c r="L182"/>
      <c r="M182"/>
      <c r="N182"/>
      <c r="O182"/>
      <c r="P182"/>
    </row>
    <row r="183" spans="1:16" ht="12" customHeight="1" x14ac:dyDescent="0.2">
      <c r="A183"/>
      <c r="B183"/>
      <c r="C183"/>
      <c r="H183"/>
      <c r="I183"/>
      <c r="J183"/>
      <c r="K183"/>
      <c r="L183"/>
      <c r="M183"/>
      <c r="N183"/>
      <c r="O183"/>
      <c r="P183"/>
    </row>
    <row r="184" spans="1:16" ht="12" customHeight="1" x14ac:dyDescent="0.2">
      <c r="A184"/>
      <c r="B184"/>
      <c r="C184"/>
      <c r="H184"/>
      <c r="I184"/>
      <c r="J184"/>
      <c r="K184"/>
      <c r="L184"/>
      <c r="M184"/>
      <c r="N184"/>
      <c r="O184"/>
      <c r="P184"/>
    </row>
    <row r="185" spans="1:16" ht="12" customHeight="1" x14ac:dyDescent="0.2">
      <c r="A185"/>
      <c r="B185"/>
      <c r="C185"/>
      <c r="H185"/>
      <c r="I185"/>
      <c r="J185"/>
      <c r="K185"/>
      <c r="L185"/>
      <c r="M185"/>
      <c r="N185"/>
      <c r="O185"/>
      <c r="P185"/>
    </row>
    <row r="186" spans="1:16" ht="12" customHeight="1" x14ac:dyDescent="0.2">
      <c r="A186"/>
      <c r="B186"/>
      <c r="C186"/>
      <c r="H186"/>
      <c r="I186"/>
      <c r="J186"/>
      <c r="K186"/>
      <c r="L186"/>
      <c r="M186"/>
      <c r="N186"/>
      <c r="O186"/>
      <c r="P186"/>
    </row>
    <row r="187" spans="1:16" ht="12" customHeight="1" x14ac:dyDescent="0.2">
      <c r="A187"/>
      <c r="B187"/>
      <c r="C187"/>
      <c r="H187"/>
      <c r="I187"/>
      <c r="J187"/>
      <c r="K187"/>
      <c r="L187"/>
      <c r="M187"/>
      <c r="N187"/>
      <c r="O187"/>
      <c r="P187"/>
    </row>
    <row r="188" spans="1:16" x14ac:dyDescent="0.2">
      <c r="A188"/>
      <c r="B188"/>
      <c r="C188"/>
      <c r="H188"/>
      <c r="I188"/>
      <c r="J188"/>
      <c r="K188"/>
      <c r="L188"/>
      <c r="M188"/>
      <c r="N188"/>
      <c r="O188"/>
      <c r="P188"/>
    </row>
    <row r="189" spans="1:16" ht="12" customHeight="1" x14ac:dyDescent="0.2">
      <c r="A189"/>
      <c r="B189"/>
      <c r="C189"/>
      <c r="H189"/>
      <c r="I189"/>
      <c r="J189"/>
      <c r="K189"/>
      <c r="L189"/>
      <c r="M189"/>
      <c r="N189"/>
      <c r="O189"/>
      <c r="P189"/>
    </row>
    <row r="190" spans="1:16" ht="12" customHeight="1" x14ac:dyDescent="0.2">
      <c r="A190"/>
      <c r="B190"/>
      <c r="C190"/>
      <c r="H190"/>
      <c r="I190"/>
      <c r="J190"/>
      <c r="K190"/>
      <c r="L190"/>
      <c r="M190"/>
      <c r="N190"/>
      <c r="O190"/>
      <c r="P190"/>
    </row>
    <row r="191" spans="1:16" ht="12" customHeight="1" x14ac:dyDescent="0.2">
      <c r="A191"/>
      <c r="B191"/>
      <c r="C191"/>
      <c r="H191"/>
      <c r="I191"/>
      <c r="J191"/>
      <c r="K191"/>
      <c r="L191"/>
      <c r="M191"/>
      <c r="N191"/>
      <c r="O191"/>
      <c r="P191"/>
    </row>
    <row r="192" spans="1:16" ht="12" customHeight="1" x14ac:dyDescent="0.2">
      <c r="A192"/>
      <c r="B192"/>
      <c r="C192"/>
      <c r="H192"/>
      <c r="I192"/>
      <c r="J192"/>
      <c r="K192"/>
      <c r="L192"/>
      <c r="M192"/>
      <c r="N192"/>
      <c r="O192"/>
      <c r="P192"/>
    </row>
    <row r="193" spans="1:16" ht="12" customHeight="1" x14ac:dyDescent="0.2">
      <c r="A193"/>
      <c r="B193"/>
      <c r="C193"/>
      <c r="H193"/>
      <c r="I193"/>
      <c r="J193"/>
      <c r="K193"/>
      <c r="L193"/>
      <c r="M193"/>
      <c r="N193"/>
      <c r="O193"/>
      <c r="P193"/>
    </row>
    <row r="194" spans="1:16" ht="12" customHeight="1" x14ac:dyDescent="0.2">
      <c r="A194"/>
      <c r="B194"/>
      <c r="C194"/>
      <c r="H194"/>
      <c r="I194"/>
      <c r="J194"/>
      <c r="K194"/>
      <c r="L194"/>
      <c r="M194"/>
      <c r="N194"/>
      <c r="O194"/>
      <c r="P194"/>
    </row>
    <row r="195" spans="1:16" x14ac:dyDescent="0.2">
      <c r="A195"/>
      <c r="B195"/>
      <c r="C195"/>
      <c r="H195"/>
      <c r="I195"/>
      <c r="J195"/>
      <c r="K195"/>
      <c r="L195"/>
      <c r="M195"/>
      <c r="N195"/>
      <c r="O195"/>
      <c r="P195"/>
    </row>
    <row r="196" spans="1:16" x14ac:dyDescent="0.2">
      <c r="A196"/>
      <c r="B196"/>
      <c r="C196"/>
      <c r="H196"/>
      <c r="I196"/>
      <c r="J196"/>
      <c r="K196"/>
      <c r="L196"/>
      <c r="M196"/>
      <c r="N196"/>
      <c r="O196"/>
      <c r="P196"/>
    </row>
    <row r="197" spans="1:16" x14ac:dyDescent="0.2">
      <c r="A197"/>
      <c r="B197"/>
      <c r="C197"/>
      <c r="H197"/>
      <c r="I197"/>
      <c r="J197"/>
      <c r="K197"/>
      <c r="L197"/>
      <c r="M197"/>
      <c r="N197"/>
      <c r="O197"/>
      <c r="P197"/>
    </row>
    <row r="198" spans="1:16" x14ac:dyDescent="0.2">
      <c r="A198"/>
      <c r="B198"/>
      <c r="C198"/>
      <c r="H198"/>
      <c r="I198"/>
      <c r="J198"/>
      <c r="K198"/>
      <c r="L198"/>
      <c r="M198"/>
      <c r="N198"/>
      <c r="O198"/>
      <c r="P198"/>
    </row>
    <row r="199" spans="1:16" ht="12" customHeight="1" x14ac:dyDescent="0.2">
      <c r="A199"/>
      <c r="B199"/>
      <c r="C199"/>
      <c r="H199"/>
      <c r="I199"/>
      <c r="J199"/>
      <c r="K199"/>
      <c r="L199"/>
      <c r="M199"/>
      <c r="N199"/>
      <c r="O199"/>
      <c r="P199"/>
    </row>
    <row r="200" spans="1:16" ht="12" customHeight="1" x14ac:dyDescent="0.2">
      <c r="A200"/>
      <c r="B200"/>
      <c r="C200"/>
      <c r="H200"/>
      <c r="I200"/>
      <c r="J200"/>
      <c r="K200"/>
      <c r="L200"/>
      <c r="M200"/>
      <c r="N200"/>
      <c r="O200"/>
      <c r="P200"/>
    </row>
    <row r="201" spans="1:16" ht="12" customHeight="1" x14ac:dyDescent="0.2">
      <c r="A201"/>
      <c r="B201"/>
      <c r="C201"/>
      <c r="H201"/>
      <c r="I201"/>
      <c r="J201"/>
      <c r="K201"/>
      <c r="L201"/>
      <c r="M201"/>
      <c r="N201"/>
      <c r="O201"/>
      <c r="P201"/>
    </row>
    <row r="202" spans="1:16" ht="12" customHeight="1" x14ac:dyDescent="0.2">
      <c r="A202"/>
      <c r="B202"/>
      <c r="C202"/>
      <c r="H202"/>
      <c r="I202"/>
      <c r="J202"/>
      <c r="K202"/>
      <c r="L202"/>
      <c r="M202"/>
      <c r="N202"/>
      <c r="O202"/>
      <c r="P202"/>
    </row>
    <row r="203" spans="1:16" ht="12" customHeight="1" x14ac:dyDescent="0.2">
      <c r="A203"/>
      <c r="B203"/>
      <c r="C203"/>
      <c r="H203"/>
      <c r="I203"/>
      <c r="J203"/>
      <c r="K203"/>
      <c r="L203"/>
      <c r="M203"/>
      <c r="N203"/>
      <c r="O203"/>
      <c r="P203"/>
    </row>
    <row r="204" spans="1:16" ht="12" customHeight="1" x14ac:dyDescent="0.2">
      <c r="A204"/>
      <c r="B204"/>
      <c r="C204"/>
      <c r="H204"/>
      <c r="I204"/>
      <c r="J204"/>
      <c r="K204"/>
      <c r="L204"/>
      <c r="M204"/>
      <c r="N204"/>
      <c r="O204"/>
      <c r="P204"/>
    </row>
    <row r="205" spans="1:16" x14ac:dyDescent="0.2">
      <c r="A205"/>
      <c r="B205"/>
      <c r="C205"/>
      <c r="H205"/>
      <c r="I205"/>
      <c r="J205"/>
      <c r="K205"/>
      <c r="L205"/>
      <c r="M205"/>
      <c r="N205"/>
      <c r="O205"/>
      <c r="P205"/>
    </row>
    <row r="206" spans="1:16" x14ac:dyDescent="0.2">
      <c r="A206"/>
      <c r="B206"/>
      <c r="C206"/>
      <c r="H206"/>
      <c r="I206"/>
      <c r="J206"/>
      <c r="K206"/>
      <c r="L206"/>
      <c r="M206"/>
      <c r="N206"/>
      <c r="O206"/>
      <c r="P206"/>
    </row>
    <row r="207" spans="1:16" x14ac:dyDescent="0.2">
      <c r="A207"/>
      <c r="B207"/>
      <c r="C207"/>
      <c r="H207"/>
      <c r="I207"/>
      <c r="J207"/>
      <c r="K207"/>
      <c r="L207"/>
      <c r="M207"/>
      <c r="N207"/>
      <c r="O207"/>
      <c r="P207"/>
    </row>
    <row r="208" spans="1:16" x14ac:dyDescent="0.2">
      <c r="A208"/>
      <c r="B208"/>
      <c r="C208"/>
      <c r="H208"/>
      <c r="I208"/>
      <c r="J208"/>
      <c r="K208"/>
      <c r="L208"/>
      <c r="M208"/>
      <c r="N208"/>
      <c r="O208"/>
      <c r="P208"/>
    </row>
    <row r="209" spans="1:16" ht="12" customHeight="1" x14ac:dyDescent="0.2">
      <c r="A209"/>
      <c r="B209"/>
      <c r="C209"/>
      <c r="H209"/>
      <c r="I209"/>
      <c r="J209"/>
      <c r="K209"/>
      <c r="L209"/>
      <c r="M209"/>
      <c r="N209"/>
      <c r="O209"/>
      <c r="P209"/>
    </row>
    <row r="210" spans="1:16" ht="12" customHeight="1" x14ac:dyDescent="0.2">
      <c r="A210"/>
      <c r="B210"/>
      <c r="C210"/>
      <c r="H210"/>
      <c r="I210"/>
      <c r="J210"/>
      <c r="K210"/>
      <c r="L210"/>
      <c r="M210"/>
      <c r="N210"/>
      <c r="O210"/>
      <c r="P210"/>
    </row>
    <row r="211" spans="1:16" ht="12" customHeight="1" x14ac:dyDescent="0.2">
      <c r="A211"/>
      <c r="B211"/>
      <c r="C211"/>
      <c r="H211"/>
      <c r="I211"/>
      <c r="J211"/>
      <c r="K211"/>
      <c r="L211"/>
      <c r="M211"/>
      <c r="N211"/>
      <c r="O211"/>
      <c r="P211"/>
    </row>
    <row r="212" spans="1:16" ht="12" customHeight="1" x14ac:dyDescent="0.2">
      <c r="A212"/>
      <c r="B212"/>
      <c r="C212"/>
      <c r="H212"/>
      <c r="I212"/>
      <c r="J212"/>
      <c r="K212"/>
      <c r="L212"/>
      <c r="M212"/>
      <c r="N212"/>
      <c r="O212"/>
      <c r="P212"/>
    </row>
    <row r="213" spans="1:16" ht="12" customHeight="1" x14ac:dyDescent="0.2">
      <c r="A213"/>
      <c r="B213"/>
      <c r="C213"/>
      <c r="H213"/>
      <c r="I213"/>
      <c r="J213"/>
      <c r="K213"/>
      <c r="L213"/>
      <c r="M213"/>
      <c r="N213"/>
      <c r="O213"/>
      <c r="P213"/>
    </row>
    <row r="214" spans="1:16" x14ac:dyDescent="0.2">
      <c r="A214"/>
      <c r="B214"/>
      <c r="C214"/>
      <c r="H214"/>
      <c r="I214"/>
      <c r="J214"/>
      <c r="K214"/>
      <c r="L214"/>
      <c r="M214"/>
      <c r="N214"/>
      <c r="O214"/>
      <c r="P214"/>
    </row>
    <row r="215" spans="1:16" x14ac:dyDescent="0.2">
      <c r="A215"/>
      <c r="B215"/>
      <c r="C215"/>
      <c r="H215"/>
      <c r="I215"/>
      <c r="J215"/>
      <c r="K215"/>
      <c r="L215"/>
      <c r="M215"/>
      <c r="N215"/>
      <c r="O215"/>
      <c r="P215"/>
    </row>
    <row r="216" spans="1:16" ht="12" customHeight="1" x14ac:dyDescent="0.2">
      <c r="A216"/>
      <c r="B216"/>
      <c r="C216"/>
      <c r="H216"/>
      <c r="I216"/>
      <c r="J216"/>
      <c r="K216"/>
      <c r="L216"/>
      <c r="M216"/>
      <c r="N216"/>
      <c r="O216"/>
      <c r="P216"/>
    </row>
    <row r="217" spans="1:16" ht="12" customHeight="1" x14ac:dyDescent="0.2">
      <c r="A217"/>
      <c r="B217"/>
      <c r="C217"/>
      <c r="H217"/>
      <c r="I217"/>
      <c r="J217"/>
      <c r="K217"/>
      <c r="L217"/>
      <c r="M217"/>
      <c r="N217"/>
      <c r="O217"/>
      <c r="P217"/>
    </row>
    <row r="218" spans="1:16" ht="12" customHeight="1" x14ac:dyDescent="0.2">
      <c r="A218"/>
      <c r="B218"/>
      <c r="C218"/>
      <c r="H218"/>
      <c r="I218"/>
      <c r="J218"/>
      <c r="K218"/>
      <c r="L218"/>
      <c r="M218"/>
      <c r="N218"/>
      <c r="O218"/>
      <c r="P218"/>
    </row>
    <row r="219" spans="1:16" ht="12" customHeight="1" x14ac:dyDescent="0.2">
      <c r="A219"/>
      <c r="B219"/>
      <c r="C219"/>
      <c r="H219"/>
      <c r="I219"/>
      <c r="J219"/>
      <c r="K219"/>
      <c r="L219"/>
      <c r="M219"/>
      <c r="N219"/>
      <c r="O219"/>
      <c r="P219"/>
    </row>
    <row r="220" spans="1:16" ht="12" customHeight="1" x14ac:dyDescent="0.2">
      <c r="A220"/>
      <c r="B220"/>
      <c r="C220"/>
      <c r="H220"/>
      <c r="I220"/>
      <c r="J220"/>
      <c r="K220"/>
      <c r="L220"/>
      <c r="M220"/>
      <c r="N220"/>
      <c r="O220"/>
      <c r="P220"/>
    </row>
    <row r="221" spans="1:16" ht="12" customHeight="1" x14ac:dyDescent="0.2">
      <c r="A221"/>
      <c r="B221"/>
      <c r="C221"/>
      <c r="H221"/>
      <c r="I221"/>
      <c r="J221"/>
      <c r="K221"/>
      <c r="L221"/>
      <c r="M221"/>
      <c r="N221"/>
      <c r="O221"/>
      <c r="P221"/>
    </row>
    <row r="222" spans="1:16" x14ac:dyDescent="0.2">
      <c r="A222"/>
      <c r="B222"/>
      <c r="C222"/>
      <c r="H222"/>
      <c r="I222"/>
      <c r="J222"/>
      <c r="K222"/>
      <c r="L222"/>
      <c r="M222"/>
      <c r="N222"/>
      <c r="O222"/>
      <c r="P222"/>
    </row>
    <row r="223" spans="1:16" x14ac:dyDescent="0.2">
      <c r="A223"/>
      <c r="B223"/>
      <c r="C223"/>
      <c r="H223"/>
      <c r="I223"/>
      <c r="J223"/>
      <c r="K223"/>
      <c r="L223"/>
      <c r="M223"/>
      <c r="N223"/>
      <c r="O223"/>
      <c r="P223"/>
    </row>
    <row r="224" spans="1:16" ht="12" customHeight="1" x14ac:dyDescent="0.2">
      <c r="A224"/>
      <c r="B224"/>
      <c r="C224"/>
      <c r="H224"/>
      <c r="I224"/>
      <c r="J224"/>
      <c r="K224"/>
      <c r="L224"/>
      <c r="M224"/>
      <c r="N224"/>
      <c r="O224"/>
      <c r="P224"/>
    </row>
    <row r="225" spans="1:16" ht="12" customHeight="1" x14ac:dyDescent="0.2">
      <c r="A225"/>
      <c r="B225"/>
      <c r="C225"/>
      <c r="H225"/>
      <c r="I225"/>
      <c r="J225"/>
      <c r="K225"/>
      <c r="L225"/>
      <c r="M225"/>
      <c r="N225"/>
      <c r="O225"/>
      <c r="P225"/>
    </row>
    <row r="226" spans="1:16" ht="12" customHeight="1" x14ac:dyDescent="0.2">
      <c r="A226"/>
      <c r="B226"/>
      <c r="C226"/>
      <c r="H226"/>
      <c r="I226"/>
      <c r="J226"/>
      <c r="K226"/>
      <c r="L226"/>
      <c r="M226"/>
      <c r="N226"/>
      <c r="O226"/>
      <c r="P226"/>
    </row>
    <row r="227" spans="1:16" ht="12" customHeight="1" x14ac:dyDescent="0.2">
      <c r="A227"/>
      <c r="B227"/>
      <c r="C227"/>
      <c r="H227"/>
      <c r="I227"/>
      <c r="J227"/>
      <c r="K227"/>
      <c r="L227"/>
      <c r="M227"/>
      <c r="N227"/>
      <c r="O227"/>
      <c r="P227"/>
    </row>
    <row r="228" spans="1:16" ht="12" customHeight="1" x14ac:dyDescent="0.2">
      <c r="A228"/>
      <c r="B228"/>
      <c r="C228"/>
      <c r="H228"/>
      <c r="I228"/>
      <c r="J228"/>
      <c r="K228"/>
      <c r="L228"/>
      <c r="M228"/>
      <c r="N228"/>
      <c r="O228"/>
      <c r="P228"/>
    </row>
    <row r="229" spans="1:16" ht="12" customHeight="1" x14ac:dyDescent="0.2">
      <c r="A229"/>
      <c r="B229"/>
      <c r="C229"/>
      <c r="H229"/>
      <c r="I229"/>
      <c r="J229"/>
      <c r="K229"/>
      <c r="L229"/>
      <c r="M229"/>
      <c r="N229"/>
      <c r="O229"/>
      <c r="P229"/>
    </row>
    <row r="230" spans="1:16" x14ac:dyDescent="0.2">
      <c r="A230"/>
      <c r="B230"/>
      <c r="C230"/>
      <c r="H230"/>
      <c r="I230"/>
      <c r="J230"/>
      <c r="K230"/>
      <c r="L230"/>
      <c r="M230"/>
      <c r="N230"/>
      <c r="O230"/>
      <c r="P230"/>
    </row>
    <row r="231" spans="1:16" x14ac:dyDescent="0.2">
      <c r="A231"/>
      <c r="B231"/>
      <c r="C231"/>
      <c r="H231"/>
      <c r="I231"/>
      <c r="J231"/>
      <c r="K231"/>
      <c r="L231"/>
      <c r="M231"/>
      <c r="N231"/>
      <c r="O231"/>
      <c r="P231"/>
    </row>
    <row r="232" spans="1:16" x14ac:dyDescent="0.2">
      <c r="A232"/>
      <c r="B232"/>
      <c r="C232"/>
      <c r="H232"/>
      <c r="I232"/>
      <c r="J232"/>
      <c r="K232"/>
      <c r="L232"/>
      <c r="M232"/>
      <c r="N232"/>
      <c r="O232"/>
      <c r="P232"/>
    </row>
    <row r="233" spans="1:16" ht="12" customHeight="1" x14ac:dyDescent="0.2">
      <c r="A233"/>
      <c r="B233"/>
      <c r="C233"/>
      <c r="H233"/>
      <c r="I233"/>
      <c r="J233"/>
      <c r="K233"/>
      <c r="L233"/>
      <c r="M233"/>
      <c r="N233"/>
      <c r="O233"/>
      <c r="P233"/>
    </row>
    <row r="234" spans="1:16" ht="12" customHeight="1" x14ac:dyDescent="0.2">
      <c r="A234"/>
      <c r="B234"/>
      <c r="C234"/>
      <c r="H234"/>
      <c r="I234"/>
      <c r="J234"/>
      <c r="K234"/>
      <c r="L234"/>
      <c r="M234"/>
      <c r="N234"/>
      <c r="O234"/>
      <c r="P234"/>
    </row>
    <row r="235" spans="1:16" ht="12" customHeight="1" x14ac:dyDescent="0.2">
      <c r="A235"/>
      <c r="B235"/>
      <c r="C235"/>
      <c r="H235"/>
      <c r="I235"/>
      <c r="J235"/>
      <c r="K235"/>
      <c r="L235"/>
      <c r="M235"/>
      <c r="N235"/>
      <c r="O235"/>
      <c r="P235"/>
    </row>
    <row r="236" spans="1:16" ht="12" customHeight="1" x14ac:dyDescent="0.2">
      <c r="A236"/>
      <c r="B236"/>
      <c r="C236"/>
      <c r="H236"/>
      <c r="I236"/>
      <c r="J236"/>
      <c r="K236"/>
      <c r="L236"/>
      <c r="M236"/>
      <c r="N236"/>
      <c r="O236"/>
      <c r="P236"/>
    </row>
    <row r="237" spans="1:16" ht="12" customHeight="1" x14ac:dyDescent="0.2">
      <c r="A237"/>
      <c r="B237"/>
      <c r="C237"/>
      <c r="H237"/>
      <c r="I237"/>
      <c r="J237"/>
      <c r="K237"/>
      <c r="L237"/>
      <c r="M237"/>
      <c r="N237"/>
      <c r="O237"/>
      <c r="P237"/>
    </row>
    <row r="238" spans="1:16" ht="12" customHeight="1" x14ac:dyDescent="0.2">
      <c r="A238"/>
      <c r="B238"/>
      <c r="C238"/>
      <c r="H238"/>
      <c r="I238"/>
      <c r="J238"/>
      <c r="K238"/>
      <c r="L238"/>
      <c r="M238"/>
      <c r="N238"/>
      <c r="O238"/>
      <c r="P238"/>
    </row>
    <row r="239" spans="1:16" ht="12" customHeight="1" x14ac:dyDescent="0.2">
      <c r="A239"/>
      <c r="B239"/>
      <c r="C239"/>
      <c r="H239"/>
      <c r="I239"/>
      <c r="J239"/>
      <c r="K239"/>
      <c r="L239"/>
      <c r="M239"/>
      <c r="N239"/>
      <c r="O239"/>
      <c r="P239"/>
    </row>
    <row r="240" spans="1:16" ht="12" customHeight="1" x14ac:dyDescent="0.2">
      <c r="A240"/>
      <c r="B240"/>
      <c r="C240"/>
      <c r="H240"/>
      <c r="I240"/>
      <c r="J240"/>
      <c r="K240"/>
      <c r="L240"/>
      <c r="M240"/>
      <c r="N240"/>
      <c r="O240"/>
      <c r="P240"/>
    </row>
    <row r="241" spans="1:16" x14ac:dyDescent="0.2">
      <c r="A241"/>
      <c r="B241"/>
      <c r="C241"/>
      <c r="H241"/>
      <c r="I241"/>
      <c r="J241"/>
      <c r="K241"/>
      <c r="L241"/>
      <c r="M241"/>
      <c r="N241"/>
      <c r="O241"/>
      <c r="P241"/>
    </row>
    <row r="242" spans="1:16" ht="12" customHeight="1" x14ac:dyDescent="0.2">
      <c r="A242"/>
      <c r="B242"/>
      <c r="C242"/>
      <c r="H242"/>
      <c r="I242"/>
      <c r="J242"/>
      <c r="K242"/>
      <c r="L242"/>
      <c r="M242"/>
      <c r="N242"/>
      <c r="O242"/>
      <c r="P242"/>
    </row>
    <row r="243" spans="1:16" ht="12" customHeight="1" x14ac:dyDescent="0.2">
      <c r="A243"/>
      <c r="B243"/>
      <c r="C243"/>
      <c r="H243"/>
      <c r="I243"/>
      <c r="J243"/>
      <c r="K243"/>
      <c r="L243"/>
      <c r="M243"/>
      <c r="N243"/>
      <c r="O243"/>
      <c r="P243"/>
    </row>
    <row r="244" spans="1:16" ht="12" customHeight="1" x14ac:dyDescent="0.2">
      <c r="A244"/>
      <c r="B244"/>
      <c r="C244"/>
      <c r="H244"/>
      <c r="I244"/>
      <c r="J244"/>
      <c r="K244"/>
      <c r="L244"/>
      <c r="M244"/>
      <c r="N244"/>
      <c r="O244"/>
      <c r="P244"/>
    </row>
    <row r="245" spans="1:16" ht="12" customHeight="1" x14ac:dyDescent="0.2">
      <c r="A245"/>
      <c r="B245"/>
      <c r="C245"/>
      <c r="H245"/>
      <c r="I245"/>
      <c r="J245"/>
      <c r="K245"/>
      <c r="L245"/>
      <c r="M245"/>
      <c r="N245"/>
      <c r="O245"/>
      <c r="P245"/>
    </row>
    <row r="246" spans="1:16" ht="12" customHeight="1" x14ac:dyDescent="0.2">
      <c r="A246"/>
      <c r="B246"/>
      <c r="C246"/>
      <c r="H246"/>
      <c r="I246"/>
      <c r="J246"/>
      <c r="K246"/>
      <c r="L246"/>
      <c r="M246"/>
      <c r="N246"/>
      <c r="O246"/>
      <c r="P246"/>
    </row>
    <row r="247" spans="1:16" ht="12" customHeight="1" x14ac:dyDescent="0.2">
      <c r="A247"/>
      <c r="B247"/>
      <c r="C247"/>
      <c r="H247"/>
      <c r="I247"/>
      <c r="J247"/>
      <c r="K247"/>
      <c r="L247"/>
      <c r="M247"/>
      <c r="N247"/>
      <c r="O247"/>
      <c r="P247"/>
    </row>
    <row r="248" spans="1:16" ht="12" customHeight="1" x14ac:dyDescent="0.2">
      <c r="A248"/>
      <c r="B248"/>
      <c r="C248"/>
      <c r="H248"/>
      <c r="I248"/>
      <c r="J248"/>
      <c r="K248"/>
      <c r="L248"/>
      <c r="M248"/>
      <c r="N248"/>
      <c r="O248"/>
      <c r="P248"/>
    </row>
    <row r="249" spans="1:16" x14ac:dyDescent="0.2">
      <c r="A249"/>
      <c r="B249"/>
      <c r="C249"/>
      <c r="H249"/>
      <c r="I249"/>
      <c r="J249"/>
      <c r="K249"/>
      <c r="L249"/>
      <c r="M249"/>
      <c r="N249"/>
      <c r="O249"/>
      <c r="P249"/>
    </row>
    <row r="250" spans="1:16" x14ac:dyDescent="0.2">
      <c r="A250"/>
      <c r="B250"/>
      <c r="C250"/>
      <c r="H250"/>
      <c r="I250"/>
      <c r="J250"/>
      <c r="K250"/>
      <c r="L250"/>
      <c r="M250"/>
      <c r="N250"/>
      <c r="O250"/>
      <c r="P250"/>
    </row>
    <row r="251" spans="1:16" x14ac:dyDescent="0.2">
      <c r="A251"/>
      <c r="B251"/>
      <c r="C251"/>
      <c r="H251"/>
      <c r="I251"/>
      <c r="J251"/>
      <c r="K251"/>
      <c r="L251"/>
      <c r="M251"/>
      <c r="N251"/>
      <c r="O251"/>
      <c r="P251"/>
    </row>
    <row r="252" spans="1:16" x14ac:dyDescent="0.2">
      <c r="A252"/>
      <c r="B252"/>
      <c r="C252"/>
      <c r="H252"/>
      <c r="I252"/>
      <c r="J252"/>
      <c r="K252"/>
      <c r="L252"/>
      <c r="M252"/>
      <c r="N252"/>
      <c r="O252"/>
      <c r="P252"/>
    </row>
    <row r="253" spans="1:16" x14ac:dyDescent="0.2">
      <c r="A253"/>
      <c r="B253"/>
      <c r="C253"/>
      <c r="H253"/>
      <c r="I253"/>
      <c r="J253"/>
      <c r="K253"/>
      <c r="L253"/>
      <c r="M253"/>
      <c r="N253"/>
      <c r="O253"/>
      <c r="P253"/>
    </row>
    <row r="254" spans="1:16" ht="12" customHeight="1" x14ac:dyDescent="0.2">
      <c r="A254"/>
      <c r="B254"/>
      <c r="C254"/>
      <c r="H254"/>
      <c r="I254"/>
      <c r="J254"/>
      <c r="K254"/>
      <c r="L254"/>
      <c r="M254"/>
      <c r="N254"/>
      <c r="O254"/>
      <c r="P254"/>
    </row>
    <row r="255" spans="1:16" ht="12" customHeight="1" x14ac:dyDescent="0.2">
      <c r="A255"/>
      <c r="B255"/>
      <c r="C255"/>
      <c r="H255"/>
      <c r="I255"/>
      <c r="J255"/>
      <c r="K255"/>
      <c r="L255"/>
      <c r="M255"/>
      <c r="N255"/>
      <c r="O255"/>
      <c r="P255"/>
    </row>
    <row r="256" spans="1:16" ht="12" customHeight="1" x14ac:dyDescent="0.2">
      <c r="A256"/>
      <c r="B256"/>
      <c r="C256"/>
      <c r="H256"/>
      <c r="I256"/>
      <c r="J256"/>
      <c r="K256"/>
      <c r="L256"/>
      <c r="M256"/>
      <c r="N256"/>
      <c r="O256"/>
      <c r="P256"/>
    </row>
    <row r="257" spans="1:16" ht="12" customHeight="1" x14ac:dyDescent="0.2">
      <c r="A257"/>
      <c r="B257"/>
      <c r="C257"/>
      <c r="H257"/>
      <c r="I257"/>
      <c r="J257"/>
      <c r="K257"/>
      <c r="L257"/>
      <c r="M257"/>
      <c r="N257"/>
      <c r="O257"/>
      <c r="P257"/>
    </row>
    <row r="258" spans="1:16" ht="12" customHeight="1" x14ac:dyDescent="0.2">
      <c r="A258"/>
      <c r="B258"/>
      <c r="C258"/>
      <c r="H258"/>
      <c r="I258"/>
      <c r="J258"/>
      <c r="K258"/>
      <c r="L258"/>
      <c r="M258"/>
      <c r="N258"/>
      <c r="O258"/>
      <c r="P258"/>
    </row>
    <row r="259" spans="1:16" ht="12" customHeight="1" x14ac:dyDescent="0.2">
      <c r="A259"/>
      <c r="B259"/>
      <c r="C259"/>
      <c r="H259"/>
      <c r="I259"/>
      <c r="J259"/>
      <c r="K259"/>
      <c r="L259"/>
      <c r="M259"/>
      <c r="N259"/>
      <c r="O259"/>
      <c r="P259"/>
    </row>
    <row r="260" spans="1:16" ht="15" customHeight="1" x14ac:dyDescent="0.2">
      <c r="A260"/>
      <c r="B260"/>
      <c r="C260"/>
      <c r="H260"/>
      <c r="I260"/>
      <c r="J260"/>
      <c r="K260"/>
      <c r="L260"/>
      <c r="M260"/>
      <c r="N260"/>
      <c r="O260"/>
      <c r="P260"/>
    </row>
    <row r="261" spans="1:16" x14ac:dyDescent="0.2">
      <c r="A261"/>
      <c r="B261"/>
      <c r="C261"/>
      <c r="H261"/>
      <c r="I261"/>
      <c r="J261"/>
      <c r="K261"/>
      <c r="L261"/>
      <c r="M261"/>
      <c r="N261"/>
      <c r="O261"/>
      <c r="P261"/>
    </row>
    <row r="262" spans="1:16" x14ac:dyDescent="0.2">
      <c r="A262"/>
      <c r="B262"/>
      <c r="C262"/>
      <c r="H262"/>
      <c r="I262"/>
      <c r="J262"/>
      <c r="K262"/>
      <c r="L262"/>
      <c r="M262"/>
      <c r="N262"/>
      <c r="O262"/>
      <c r="P262"/>
    </row>
    <row r="263" spans="1:16" x14ac:dyDescent="0.2">
      <c r="A263"/>
      <c r="B263"/>
      <c r="C263"/>
      <c r="H263"/>
      <c r="I263"/>
      <c r="J263"/>
      <c r="K263"/>
      <c r="L263"/>
      <c r="M263"/>
      <c r="N263"/>
      <c r="O263"/>
      <c r="P263"/>
    </row>
    <row r="264" spans="1:16" ht="12" customHeight="1" x14ac:dyDescent="0.2">
      <c r="A264"/>
      <c r="B264"/>
      <c r="C264"/>
      <c r="H264"/>
      <c r="I264"/>
      <c r="J264"/>
      <c r="K264"/>
      <c r="L264"/>
      <c r="M264"/>
      <c r="N264"/>
      <c r="O264"/>
      <c r="P264"/>
    </row>
    <row r="265" spans="1:16" ht="12" customHeight="1" x14ac:dyDescent="0.2">
      <c r="A265"/>
      <c r="B265"/>
      <c r="C265"/>
      <c r="H265"/>
      <c r="I265"/>
      <c r="J265"/>
      <c r="K265"/>
      <c r="L265"/>
      <c r="M265"/>
      <c r="N265"/>
      <c r="O265"/>
      <c r="P265"/>
    </row>
    <row r="266" spans="1:16" ht="12" customHeight="1" x14ac:dyDescent="0.2">
      <c r="A266"/>
      <c r="B266"/>
      <c r="C266"/>
      <c r="H266"/>
      <c r="I266"/>
      <c r="J266"/>
      <c r="K266"/>
      <c r="L266"/>
      <c r="M266"/>
      <c r="N266"/>
      <c r="O266"/>
      <c r="P266"/>
    </row>
    <row r="267" spans="1:16" ht="12" customHeight="1" x14ac:dyDescent="0.2">
      <c r="A267"/>
      <c r="B267"/>
      <c r="C267"/>
      <c r="H267"/>
      <c r="I267"/>
      <c r="J267"/>
      <c r="K267"/>
      <c r="L267"/>
      <c r="M267"/>
      <c r="N267"/>
      <c r="O267"/>
      <c r="P267"/>
    </row>
    <row r="268" spans="1:16" ht="12" customHeight="1" x14ac:dyDescent="0.2">
      <c r="A268"/>
      <c r="B268"/>
      <c r="C268"/>
      <c r="H268"/>
      <c r="I268"/>
      <c r="J268"/>
      <c r="K268"/>
      <c r="L268"/>
      <c r="M268"/>
      <c r="N268"/>
      <c r="O268"/>
      <c r="P268"/>
    </row>
    <row r="269" spans="1:16" ht="12" customHeight="1" x14ac:dyDescent="0.2">
      <c r="A269"/>
      <c r="B269"/>
      <c r="C269"/>
      <c r="H269"/>
      <c r="I269"/>
      <c r="J269"/>
      <c r="K269"/>
      <c r="L269"/>
      <c r="M269"/>
      <c r="N269"/>
      <c r="O269"/>
      <c r="P269"/>
    </row>
    <row r="270" spans="1:16" ht="12" customHeight="1" x14ac:dyDescent="0.2">
      <c r="A270"/>
      <c r="B270"/>
      <c r="C270"/>
      <c r="H270"/>
      <c r="I270"/>
      <c r="J270"/>
      <c r="K270"/>
      <c r="L270"/>
      <c r="M270"/>
      <c r="N270"/>
      <c r="O270"/>
      <c r="P270"/>
    </row>
    <row r="271" spans="1:16" x14ac:dyDescent="0.2">
      <c r="A271"/>
      <c r="B271"/>
      <c r="C271"/>
      <c r="H271"/>
      <c r="I271"/>
      <c r="J271"/>
      <c r="K271"/>
      <c r="L271"/>
      <c r="M271"/>
      <c r="N271"/>
      <c r="O271"/>
      <c r="P271"/>
    </row>
    <row r="272" spans="1:16" x14ac:dyDescent="0.2">
      <c r="A272"/>
      <c r="B272"/>
      <c r="C272"/>
      <c r="H272"/>
      <c r="I272"/>
      <c r="J272"/>
      <c r="K272"/>
      <c r="L272"/>
      <c r="M272"/>
      <c r="N272"/>
      <c r="O272"/>
      <c r="P272"/>
    </row>
    <row r="273" spans="1:16" ht="12" customHeight="1" x14ac:dyDescent="0.2">
      <c r="A273"/>
      <c r="B273"/>
      <c r="C273"/>
      <c r="H273"/>
      <c r="I273"/>
      <c r="J273"/>
      <c r="K273"/>
      <c r="L273"/>
      <c r="M273"/>
      <c r="N273"/>
      <c r="O273"/>
      <c r="P273"/>
    </row>
    <row r="274" spans="1:16" ht="12" customHeight="1" x14ac:dyDescent="0.2">
      <c r="A274"/>
      <c r="B274"/>
      <c r="C274"/>
      <c r="H274"/>
      <c r="I274"/>
      <c r="J274"/>
      <c r="K274"/>
      <c r="L274"/>
      <c r="M274"/>
      <c r="N274"/>
      <c r="O274"/>
      <c r="P274"/>
    </row>
    <row r="275" spans="1:16" ht="12" customHeight="1" x14ac:dyDescent="0.2">
      <c r="A275"/>
      <c r="B275"/>
      <c r="C275"/>
      <c r="H275"/>
      <c r="I275"/>
      <c r="J275"/>
      <c r="K275"/>
      <c r="L275"/>
      <c r="M275"/>
      <c r="N275"/>
      <c r="O275"/>
      <c r="P275"/>
    </row>
    <row r="276" spans="1:16" ht="12" customHeight="1" x14ac:dyDescent="0.2">
      <c r="A276"/>
      <c r="B276"/>
      <c r="C276"/>
      <c r="H276"/>
      <c r="I276"/>
      <c r="J276"/>
      <c r="K276"/>
      <c r="L276"/>
      <c r="M276"/>
      <c r="N276"/>
      <c r="O276"/>
      <c r="P276"/>
    </row>
    <row r="277" spans="1:16" ht="12" customHeight="1" x14ac:dyDescent="0.2">
      <c r="A277"/>
      <c r="B277"/>
      <c r="C277"/>
      <c r="H277"/>
      <c r="I277"/>
      <c r="J277"/>
      <c r="K277"/>
      <c r="L277"/>
      <c r="M277"/>
      <c r="N277"/>
      <c r="O277"/>
      <c r="P277"/>
    </row>
    <row r="278" spans="1:16" ht="12" customHeight="1" x14ac:dyDescent="0.2">
      <c r="A278"/>
      <c r="B278"/>
      <c r="C278"/>
      <c r="H278"/>
      <c r="I278"/>
      <c r="J278"/>
      <c r="K278"/>
      <c r="L278"/>
      <c r="M278"/>
      <c r="N278"/>
      <c r="O278"/>
      <c r="P278"/>
    </row>
    <row r="279" spans="1:16" ht="12" customHeight="1" x14ac:dyDescent="0.2">
      <c r="A279"/>
      <c r="B279"/>
      <c r="C279"/>
      <c r="H279"/>
      <c r="I279"/>
      <c r="J279"/>
      <c r="K279"/>
      <c r="L279"/>
      <c r="M279"/>
      <c r="N279"/>
      <c r="O279"/>
      <c r="P279"/>
    </row>
    <row r="280" spans="1:16" ht="12" customHeight="1" x14ac:dyDescent="0.2">
      <c r="A280"/>
      <c r="B280"/>
      <c r="C280"/>
      <c r="H280"/>
      <c r="I280"/>
      <c r="J280"/>
      <c r="K280"/>
      <c r="L280"/>
      <c r="M280"/>
      <c r="N280"/>
      <c r="O280"/>
      <c r="P280"/>
    </row>
    <row r="281" spans="1:16" ht="12" customHeight="1" x14ac:dyDescent="0.2">
      <c r="A281"/>
      <c r="B281"/>
      <c r="C281"/>
      <c r="H281"/>
      <c r="I281"/>
      <c r="J281"/>
      <c r="K281"/>
      <c r="L281"/>
      <c r="M281"/>
      <c r="N281"/>
      <c r="O281"/>
      <c r="P281"/>
    </row>
    <row r="282" spans="1:16" x14ac:dyDescent="0.2">
      <c r="A282"/>
      <c r="B282"/>
      <c r="C282"/>
      <c r="H282"/>
      <c r="I282"/>
      <c r="J282"/>
      <c r="K282"/>
      <c r="L282"/>
      <c r="M282"/>
      <c r="N282"/>
      <c r="O282"/>
      <c r="P282"/>
    </row>
    <row r="283" spans="1:16" x14ac:dyDescent="0.2">
      <c r="A283"/>
      <c r="B283"/>
      <c r="C283"/>
      <c r="H283"/>
      <c r="I283"/>
      <c r="J283"/>
      <c r="K283"/>
      <c r="L283"/>
      <c r="M283"/>
      <c r="N283"/>
      <c r="O283"/>
      <c r="P283"/>
    </row>
    <row r="284" spans="1:16" x14ac:dyDescent="0.2">
      <c r="A284"/>
      <c r="B284"/>
      <c r="C284"/>
      <c r="H284"/>
      <c r="I284"/>
      <c r="J284"/>
      <c r="K284"/>
      <c r="L284"/>
      <c r="M284"/>
      <c r="N284"/>
      <c r="O284"/>
      <c r="P284"/>
    </row>
    <row r="285" spans="1:16" x14ac:dyDescent="0.2">
      <c r="A285"/>
      <c r="B285"/>
      <c r="C285"/>
      <c r="H285"/>
      <c r="I285"/>
      <c r="J285"/>
      <c r="K285"/>
      <c r="L285"/>
      <c r="M285"/>
      <c r="N285"/>
      <c r="O285"/>
      <c r="P285"/>
    </row>
    <row r="286" spans="1:16" x14ac:dyDescent="0.2">
      <c r="A286"/>
      <c r="B286"/>
      <c r="C286"/>
      <c r="H286"/>
      <c r="I286"/>
      <c r="J286"/>
      <c r="K286"/>
      <c r="L286"/>
      <c r="M286"/>
      <c r="N286"/>
      <c r="O286"/>
      <c r="P286"/>
    </row>
    <row r="287" spans="1:16" x14ac:dyDescent="0.2">
      <c r="A287"/>
      <c r="B287"/>
      <c r="C287"/>
      <c r="H287"/>
      <c r="I287"/>
      <c r="J287"/>
      <c r="K287"/>
      <c r="L287"/>
      <c r="M287"/>
      <c r="N287"/>
      <c r="O287"/>
      <c r="P287"/>
    </row>
    <row r="288" spans="1:16" x14ac:dyDescent="0.2">
      <c r="A288"/>
      <c r="B288"/>
      <c r="C288"/>
      <c r="H288"/>
      <c r="I288"/>
      <c r="J288"/>
      <c r="K288"/>
      <c r="L288"/>
      <c r="M288"/>
      <c r="N288"/>
      <c r="O288"/>
      <c r="P288"/>
    </row>
    <row r="289" spans="1:16" x14ac:dyDescent="0.2">
      <c r="A289"/>
      <c r="B289"/>
      <c r="C289"/>
      <c r="H289"/>
      <c r="I289"/>
      <c r="J289"/>
      <c r="K289"/>
      <c r="L289"/>
      <c r="M289"/>
      <c r="N289"/>
      <c r="O289"/>
      <c r="P289"/>
    </row>
    <row r="290" spans="1:16" x14ac:dyDescent="0.2">
      <c r="A290"/>
      <c r="B290"/>
      <c r="C290"/>
      <c r="H290"/>
      <c r="I290"/>
      <c r="J290"/>
      <c r="K290"/>
      <c r="L290"/>
      <c r="M290"/>
      <c r="N290"/>
      <c r="O290"/>
      <c r="P290"/>
    </row>
    <row r="291" spans="1:16" x14ac:dyDescent="0.2">
      <c r="A291"/>
      <c r="B291"/>
      <c r="C291"/>
      <c r="H291"/>
      <c r="I291"/>
      <c r="J291"/>
      <c r="K291"/>
      <c r="L291"/>
      <c r="M291"/>
      <c r="N291"/>
      <c r="O291"/>
      <c r="P291"/>
    </row>
    <row r="292" spans="1:16" x14ac:dyDescent="0.2">
      <c r="A292"/>
      <c r="B292"/>
      <c r="C292"/>
      <c r="H292"/>
      <c r="I292"/>
      <c r="J292"/>
      <c r="K292"/>
      <c r="L292"/>
      <c r="M292"/>
      <c r="N292"/>
      <c r="O292"/>
      <c r="P292"/>
    </row>
    <row r="293" spans="1:16" x14ac:dyDescent="0.2">
      <c r="A293"/>
      <c r="B293"/>
      <c r="C293"/>
      <c r="H293"/>
      <c r="I293"/>
      <c r="J293"/>
      <c r="K293"/>
      <c r="L293"/>
      <c r="M293"/>
      <c r="N293"/>
      <c r="O293"/>
      <c r="P293"/>
    </row>
    <row r="294" spans="1:16" x14ac:dyDescent="0.2">
      <c r="A294"/>
      <c r="B294"/>
      <c r="C294"/>
      <c r="H294"/>
      <c r="I294"/>
      <c r="J294"/>
      <c r="K294"/>
      <c r="L294"/>
      <c r="M294"/>
      <c r="N294"/>
      <c r="O294"/>
      <c r="P294"/>
    </row>
    <row r="295" spans="1:16" x14ac:dyDescent="0.2">
      <c r="A295"/>
      <c r="B295"/>
      <c r="C295"/>
      <c r="H295"/>
      <c r="I295"/>
      <c r="J295"/>
      <c r="K295"/>
      <c r="L295"/>
      <c r="M295"/>
      <c r="N295"/>
      <c r="O295"/>
      <c r="P295"/>
    </row>
    <row r="296" spans="1:16" ht="12" customHeight="1" x14ac:dyDescent="0.2">
      <c r="A296"/>
      <c r="B296"/>
      <c r="C296"/>
      <c r="H296"/>
      <c r="I296"/>
      <c r="J296"/>
      <c r="K296"/>
      <c r="L296"/>
      <c r="M296"/>
      <c r="N296"/>
      <c r="O296"/>
      <c r="P296"/>
    </row>
    <row r="297" spans="1:16" ht="12" customHeight="1" x14ac:dyDescent="0.2">
      <c r="A297"/>
      <c r="B297"/>
      <c r="C297"/>
      <c r="H297"/>
      <c r="I297"/>
      <c r="J297"/>
      <c r="K297"/>
      <c r="L297"/>
      <c r="M297"/>
      <c r="N297"/>
      <c r="O297"/>
      <c r="P297"/>
    </row>
    <row r="298" spans="1:16" ht="12" customHeight="1" x14ac:dyDescent="0.2">
      <c r="A298"/>
      <c r="B298"/>
      <c r="C298"/>
      <c r="H298"/>
      <c r="I298"/>
      <c r="J298"/>
      <c r="K298"/>
      <c r="L298"/>
      <c r="M298"/>
      <c r="N298"/>
      <c r="O298"/>
      <c r="P298"/>
    </row>
    <row r="299" spans="1:16" ht="12" customHeight="1" x14ac:dyDescent="0.2">
      <c r="A299"/>
      <c r="B299"/>
      <c r="C299"/>
      <c r="H299"/>
      <c r="I299"/>
      <c r="J299"/>
      <c r="K299"/>
      <c r="L299"/>
      <c r="M299"/>
      <c r="N299"/>
      <c r="O299"/>
      <c r="P299"/>
    </row>
    <row r="300" spans="1:16" ht="12" customHeight="1" x14ac:dyDescent="0.2">
      <c r="A300"/>
      <c r="B300"/>
      <c r="C300"/>
      <c r="H300"/>
      <c r="I300"/>
      <c r="J300"/>
      <c r="K300"/>
      <c r="L300"/>
      <c r="M300"/>
      <c r="N300"/>
      <c r="O300"/>
      <c r="P300"/>
    </row>
    <row r="301" spans="1:16" ht="12" customHeight="1" x14ac:dyDescent="0.2">
      <c r="A301"/>
      <c r="B301"/>
      <c r="C301"/>
      <c r="H301"/>
      <c r="I301"/>
      <c r="J301"/>
      <c r="K301"/>
      <c r="L301"/>
      <c r="M301"/>
      <c r="N301"/>
      <c r="O301"/>
      <c r="P301"/>
    </row>
    <row r="302" spans="1:16" ht="12" customHeight="1" x14ac:dyDescent="0.2">
      <c r="A302"/>
      <c r="B302"/>
      <c r="C302"/>
      <c r="H302"/>
      <c r="I302"/>
      <c r="J302"/>
      <c r="K302"/>
      <c r="L302"/>
      <c r="M302"/>
      <c r="N302"/>
      <c r="O302"/>
      <c r="P302"/>
    </row>
    <row r="303" spans="1:16" s="115" customFormat="1" ht="12" customHeight="1" x14ac:dyDescent="0.2"/>
    <row r="304" spans="1:16" x14ac:dyDescent="0.2">
      <c r="A304"/>
      <c r="B304"/>
      <c r="C304"/>
      <c r="H304"/>
      <c r="I304"/>
      <c r="J304"/>
      <c r="K304"/>
      <c r="L304"/>
      <c r="M304"/>
      <c r="N304"/>
      <c r="O304"/>
      <c r="P304"/>
    </row>
    <row r="305" spans="1:16" x14ac:dyDescent="0.2">
      <c r="A305"/>
      <c r="B305"/>
      <c r="C305"/>
      <c r="H305"/>
      <c r="I305"/>
      <c r="J305"/>
      <c r="K305"/>
      <c r="L305"/>
      <c r="M305"/>
      <c r="N305"/>
      <c r="O305"/>
      <c r="P305"/>
    </row>
    <row r="306" spans="1:16" x14ac:dyDescent="0.2">
      <c r="A306"/>
      <c r="B306"/>
      <c r="C306"/>
      <c r="H306"/>
      <c r="I306"/>
      <c r="J306"/>
      <c r="K306"/>
      <c r="L306"/>
      <c r="M306"/>
      <c r="N306"/>
      <c r="O306"/>
      <c r="P306"/>
    </row>
    <row r="307" spans="1:16" x14ac:dyDescent="0.2">
      <c r="A307"/>
      <c r="B307"/>
      <c r="C307"/>
      <c r="H307"/>
      <c r="I307"/>
      <c r="J307"/>
      <c r="K307"/>
      <c r="L307"/>
      <c r="M307"/>
      <c r="N307"/>
      <c r="O307"/>
      <c r="P307"/>
    </row>
    <row r="308" spans="1:16" x14ac:dyDescent="0.2">
      <c r="A308"/>
      <c r="B308"/>
      <c r="C308"/>
      <c r="H308"/>
      <c r="I308"/>
      <c r="J308"/>
      <c r="K308"/>
      <c r="L308"/>
      <c r="M308"/>
      <c r="N308"/>
      <c r="O308"/>
      <c r="P308"/>
    </row>
    <row r="309" spans="1:16" x14ac:dyDescent="0.2">
      <c r="A309"/>
      <c r="B309"/>
      <c r="C309"/>
      <c r="H309"/>
      <c r="I309"/>
      <c r="J309"/>
      <c r="K309"/>
      <c r="L309"/>
      <c r="M309"/>
      <c r="N309"/>
      <c r="O309"/>
      <c r="P309"/>
    </row>
    <row r="310" spans="1:16" x14ac:dyDescent="0.2">
      <c r="A310"/>
      <c r="B310"/>
      <c r="C310"/>
      <c r="H310"/>
      <c r="I310"/>
      <c r="J310"/>
      <c r="K310"/>
      <c r="L310"/>
      <c r="M310"/>
      <c r="N310"/>
      <c r="O310"/>
      <c r="P310"/>
    </row>
    <row r="311" spans="1:16" x14ac:dyDescent="0.2">
      <c r="A311"/>
      <c r="B311"/>
      <c r="C311"/>
      <c r="H311"/>
      <c r="I311"/>
      <c r="J311"/>
      <c r="K311"/>
      <c r="L311"/>
      <c r="M311"/>
      <c r="N311"/>
      <c r="O311"/>
      <c r="P311"/>
    </row>
    <row r="312" spans="1:16" x14ac:dyDescent="0.2">
      <c r="A312"/>
      <c r="B312"/>
      <c r="C312"/>
      <c r="H312"/>
      <c r="I312"/>
      <c r="J312"/>
      <c r="K312"/>
      <c r="L312"/>
      <c r="M312"/>
      <c r="N312"/>
      <c r="O312"/>
      <c r="P312"/>
    </row>
    <row r="313" spans="1:16" x14ac:dyDescent="0.2">
      <c r="A313"/>
      <c r="B313"/>
      <c r="C313"/>
      <c r="H313"/>
      <c r="I313"/>
      <c r="J313"/>
      <c r="K313"/>
      <c r="L313"/>
      <c r="M313"/>
      <c r="N313"/>
      <c r="O313"/>
      <c r="P313"/>
    </row>
    <row r="314" spans="1:16" x14ac:dyDescent="0.2">
      <c r="A314"/>
      <c r="B314"/>
      <c r="C314"/>
      <c r="H314"/>
      <c r="I314"/>
      <c r="J314"/>
      <c r="K314"/>
      <c r="L314"/>
      <c r="M314"/>
      <c r="N314"/>
      <c r="O314"/>
      <c r="P314"/>
    </row>
    <row r="315" spans="1:16" x14ac:dyDescent="0.2">
      <c r="A315"/>
      <c r="B315"/>
      <c r="C315"/>
      <c r="H315"/>
      <c r="I315"/>
      <c r="J315"/>
      <c r="K315"/>
      <c r="L315"/>
      <c r="M315"/>
      <c r="N315"/>
      <c r="O315"/>
      <c r="P315"/>
    </row>
    <row r="316" spans="1:16" x14ac:dyDescent="0.2">
      <c r="A316"/>
      <c r="B316"/>
      <c r="C316"/>
      <c r="H316"/>
      <c r="I316"/>
      <c r="J316"/>
      <c r="K316"/>
      <c r="L316"/>
      <c r="M316"/>
      <c r="N316"/>
      <c r="O316"/>
      <c r="P316"/>
    </row>
    <row r="317" spans="1:16" x14ac:dyDescent="0.2">
      <c r="A317"/>
      <c r="B317"/>
      <c r="C317"/>
      <c r="H317"/>
      <c r="I317"/>
      <c r="J317"/>
      <c r="K317"/>
      <c r="L317"/>
      <c r="M317"/>
      <c r="N317"/>
      <c r="O317"/>
      <c r="P317"/>
    </row>
    <row r="318" spans="1:16" ht="12" customHeight="1" x14ac:dyDescent="0.2">
      <c r="A318"/>
      <c r="B318"/>
      <c r="C318"/>
      <c r="H318"/>
      <c r="I318"/>
      <c r="J318"/>
      <c r="K318"/>
      <c r="L318"/>
      <c r="M318"/>
      <c r="N318"/>
      <c r="O318"/>
      <c r="P318"/>
    </row>
    <row r="319" spans="1:16" ht="12" customHeight="1" x14ac:dyDescent="0.2">
      <c r="A319"/>
      <c r="B319"/>
      <c r="C319"/>
      <c r="H319"/>
      <c r="I319"/>
      <c r="J319"/>
      <c r="K319"/>
      <c r="L319"/>
      <c r="M319"/>
      <c r="N319"/>
      <c r="O319"/>
      <c r="P319"/>
    </row>
    <row r="320" spans="1:16" ht="12" customHeight="1" x14ac:dyDescent="0.2">
      <c r="A320"/>
      <c r="B320"/>
      <c r="C320"/>
      <c r="H320"/>
      <c r="I320"/>
      <c r="J320"/>
      <c r="K320"/>
      <c r="L320"/>
      <c r="M320"/>
      <c r="N320"/>
      <c r="O320"/>
      <c r="P320"/>
    </row>
    <row r="321" spans="1:16" ht="12" customHeight="1" x14ac:dyDescent="0.2">
      <c r="A321"/>
      <c r="B321"/>
      <c r="C321"/>
      <c r="H321"/>
      <c r="I321"/>
      <c r="J321"/>
      <c r="K321"/>
      <c r="L321"/>
      <c r="M321"/>
      <c r="N321"/>
      <c r="O321"/>
      <c r="P321"/>
    </row>
    <row r="322" spans="1:16" ht="12" customHeight="1" x14ac:dyDescent="0.2">
      <c r="A322"/>
      <c r="B322"/>
      <c r="C322"/>
      <c r="H322"/>
      <c r="I322"/>
      <c r="J322"/>
      <c r="K322"/>
      <c r="L322"/>
      <c r="M322"/>
      <c r="N322"/>
      <c r="O322"/>
      <c r="P322"/>
    </row>
    <row r="323" spans="1:16" ht="12" customHeight="1" x14ac:dyDescent="0.2">
      <c r="A323"/>
      <c r="B323"/>
      <c r="C323"/>
      <c r="H323"/>
      <c r="I323"/>
      <c r="J323"/>
      <c r="K323"/>
      <c r="L323"/>
      <c r="M323"/>
      <c r="N323"/>
      <c r="O323"/>
      <c r="P323"/>
    </row>
    <row r="324" spans="1:16" ht="12" customHeight="1" x14ac:dyDescent="0.2">
      <c r="A324"/>
      <c r="B324"/>
      <c r="C324"/>
      <c r="H324"/>
      <c r="I324"/>
      <c r="J324"/>
      <c r="K324"/>
      <c r="L324"/>
      <c r="M324"/>
      <c r="N324"/>
      <c r="O324"/>
      <c r="P324"/>
    </row>
    <row r="325" spans="1:16" s="115" customFormat="1" ht="12" customHeight="1" x14ac:dyDescent="0.2"/>
    <row r="326" spans="1:16" ht="12" customHeight="1" x14ac:dyDescent="0.2">
      <c r="A326"/>
      <c r="B326"/>
      <c r="C326"/>
      <c r="H326"/>
      <c r="I326"/>
      <c r="J326"/>
      <c r="K326"/>
      <c r="L326"/>
      <c r="M326"/>
      <c r="N326"/>
      <c r="O326"/>
      <c r="P326"/>
    </row>
    <row r="327" spans="1:16" ht="12" customHeight="1" x14ac:dyDescent="0.2">
      <c r="A327"/>
      <c r="B327"/>
      <c r="C327"/>
      <c r="H327"/>
      <c r="I327"/>
      <c r="J327"/>
      <c r="K327"/>
      <c r="L327"/>
      <c r="M327"/>
      <c r="N327"/>
      <c r="O327"/>
      <c r="P327"/>
    </row>
    <row r="328" spans="1:16" ht="12" customHeight="1" x14ac:dyDescent="0.2">
      <c r="A328"/>
      <c r="B328"/>
      <c r="C328"/>
      <c r="H328"/>
      <c r="I328"/>
      <c r="J328"/>
      <c r="K328"/>
      <c r="L328"/>
      <c r="M328"/>
      <c r="N328"/>
      <c r="O328"/>
      <c r="P328"/>
    </row>
    <row r="329" spans="1:16" x14ac:dyDescent="0.2">
      <c r="A329"/>
      <c r="B329"/>
      <c r="C329"/>
      <c r="H329"/>
      <c r="I329"/>
      <c r="J329"/>
      <c r="K329"/>
      <c r="L329"/>
      <c r="M329"/>
      <c r="N329"/>
      <c r="O329"/>
      <c r="P329"/>
    </row>
    <row r="330" spans="1:16" x14ac:dyDescent="0.2">
      <c r="A330"/>
      <c r="B330"/>
      <c r="C330"/>
      <c r="H330"/>
      <c r="I330"/>
      <c r="J330"/>
      <c r="K330"/>
      <c r="L330"/>
      <c r="M330"/>
      <c r="N330"/>
      <c r="O330"/>
      <c r="P330"/>
    </row>
    <row r="331" spans="1:16" x14ac:dyDescent="0.2">
      <c r="A331"/>
      <c r="B331"/>
      <c r="C331"/>
      <c r="H331"/>
      <c r="I331"/>
      <c r="J331"/>
      <c r="K331"/>
      <c r="L331"/>
      <c r="M331"/>
      <c r="N331"/>
      <c r="O331"/>
      <c r="P331"/>
    </row>
    <row r="332" spans="1:16" x14ac:dyDescent="0.2">
      <c r="A332"/>
      <c r="B332"/>
      <c r="C332"/>
      <c r="H332"/>
      <c r="I332"/>
      <c r="J332"/>
      <c r="K332"/>
      <c r="L332"/>
      <c r="M332"/>
      <c r="N332"/>
      <c r="O332"/>
      <c r="P332"/>
    </row>
    <row r="333" spans="1:16" x14ac:dyDescent="0.2">
      <c r="A333"/>
      <c r="B333"/>
      <c r="C333"/>
      <c r="H333"/>
      <c r="I333"/>
      <c r="J333"/>
      <c r="K333"/>
      <c r="L333"/>
      <c r="M333"/>
      <c r="N333"/>
      <c r="O333"/>
      <c r="P333"/>
    </row>
    <row r="334" spans="1:16" x14ac:dyDescent="0.2">
      <c r="A334"/>
      <c r="B334"/>
      <c r="C334"/>
      <c r="H334"/>
      <c r="I334"/>
      <c r="J334"/>
      <c r="K334"/>
      <c r="L334"/>
      <c r="M334"/>
      <c r="N334"/>
      <c r="O334"/>
      <c r="P334"/>
    </row>
    <row r="335" spans="1:16" x14ac:dyDescent="0.2">
      <c r="A335"/>
      <c r="B335"/>
      <c r="C335"/>
      <c r="H335"/>
      <c r="I335"/>
      <c r="J335"/>
      <c r="K335"/>
      <c r="L335"/>
      <c r="M335"/>
      <c r="N335"/>
      <c r="O335"/>
      <c r="P335"/>
    </row>
    <row r="336" spans="1:16" x14ac:dyDescent="0.2">
      <c r="A336"/>
      <c r="B336"/>
      <c r="C336"/>
      <c r="H336"/>
      <c r="I336"/>
      <c r="J336"/>
      <c r="K336"/>
      <c r="L336"/>
      <c r="M336"/>
      <c r="N336"/>
      <c r="O336"/>
      <c r="P336"/>
    </row>
    <row r="337" spans="1:16" x14ac:dyDescent="0.2">
      <c r="A337"/>
      <c r="B337"/>
      <c r="C337"/>
      <c r="H337"/>
      <c r="I337"/>
      <c r="J337"/>
      <c r="K337"/>
      <c r="L337"/>
      <c r="M337"/>
      <c r="N337"/>
      <c r="O337"/>
      <c r="P337"/>
    </row>
    <row r="338" spans="1:16" x14ac:dyDescent="0.2">
      <c r="A338"/>
      <c r="B338"/>
      <c r="C338"/>
      <c r="H338"/>
      <c r="I338"/>
      <c r="J338"/>
      <c r="K338"/>
      <c r="L338"/>
      <c r="M338"/>
      <c r="N338"/>
      <c r="O338"/>
      <c r="P338"/>
    </row>
    <row r="339" spans="1:16" x14ac:dyDescent="0.2">
      <c r="A339"/>
      <c r="B339"/>
      <c r="C339"/>
      <c r="H339"/>
      <c r="I339"/>
      <c r="J339"/>
      <c r="K339"/>
      <c r="L339"/>
      <c r="M339"/>
      <c r="N339"/>
      <c r="O339"/>
      <c r="P339"/>
    </row>
    <row r="340" spans="1:16" x14ac:dyDescent="0.2">
      <c r="A340"/>
      <c r="B340"/>
      <c r="C340"/>
      <c r="H340"/>
      <c r="I340"/>
      <c r="J340"/>
      <c r="K340"/>
      <c r="L340"/>
      <c r="M340"/>
      <c r="N340"/>
      <c r="O340"/>
      <c r="P340"/>
    </row>
    <row r="341" spans="1:16" x14ac:dyDescent="0.2">
      <c r="A341"/>
      <c r="B341"/>
      <c r="C341"/>
      <c r="H341"/>
      <c r="I341"/>
      <c r="J341"/>
      <c r="K341"/>
      <c r="L341"/>
      <c r="M341"/>
      <c r="N341"/>
      <c r="O341"/>
      <c r="P341"/>
    </row>
    <row r="342" spans="1:16" ht="12" customHeight="1" x14ac:dyDescent="0.2">
      <c r="A342"/>
      <c r="B342"/>
      <c r="C342"/>
      <c r="H342"/>
      <c r="I342"/>
      <c r="J342"/>
      <c r="K342"/>
      <c r="L342"/>
      <c r="M342"/>
      <c r="N342"/>
      <c r="O342"/>
      <c r="P342"/>
    </row>
    <row r="343" spans="1:16" ht="12" customHeight="1" x14ac:dyDescent="0.2">
      <c r="A343"/>
      <c r="B343"/>
      <c r="C343"/>
      <c r="H343"/>
      <c r="I343"/>
      <c r="J343"/>
      <c r="K343"/>
      <c r="L343"/>
      <c r="M343"/>
      <c r="N343"/>
      <c r="O343"/>
      <c r="P343"/>
    </row>
    <row r="344" spans="1:16" ht="12" customHeight="1" x14ac:dyDescent="0.2">
      <c r="A344"/>
      <c r="B344"/>
      <c r="C344"/>
      <c r="H344"/>
      <c r="I344"/>
      <c r="J344"/>
      <c r="K344"/>
      <c r="L344"/>
      <c r="M344"/>
      <c r="N344"/>
      <c r="O344"/>
      <c r="P344"/>
    </row>
    <row r="345" spans="1:16" ht="12" customHeight="1" x14ac:dyDescent="0.2">
      <c r="A345"/>
      <c r="B345"/>
      <c r="C345"/>
      <c r="H345"/>
      <c r="I345"/>
      <c r="J345"/>
      <c r="K345"/>
      <c r="L345"/>
      <c r="M345"/>
      <c r="N345"/>
      <c r="O345"/>
      <c r="P345"/>
    </row>
    <row r="346" spans="1:16" ht="12" customHeight="1" x14ac:dyDescent="0.2">
      <c r="A346"/>
      <c r="B346"/>
      <c r="C346"/>
      <c r="H346"/>
      <c r="I346"/>
      <c r="J346"/>
      <c r="K346"/>
      <c r="L346"/>
      <c r="M346"/>
      <c r="N346"/>
      <c r="O346"/>
      <c r="P346"/>
    </row>
    <row r="347" spans="1:16" ht="12" customHeight="1" x14ac:dyDescent="0.2">
      <c r="A347"/>
      <c r="B347"/>
      <c r="C347"/>
      <c r="H347"/>
      <c r="I347"/>
      <c r="J347"/>
      <c r="K347"/>
      <c r="L347"/>
      <c r="M347"/>
      <c r="N347"/>
      <c r="O347"/>
      <c r="P347"/>
    </row>
    <row r="348" spans="1:16" ht="12" customHeight="1" x14ac:dyDescent="0.2">
      <c r="A348"/>
      <c r="B348"/>
      <c r="C348"/>
      <c r="H348"/>
      <c r="I348"/>
      <c r="J348"/>
      <c r="K348"/>
      <c r="L348"/>
      <c r="M348"/>
      <c r="N348"/>
      <c r="O348"/>
      <c r="P348"/>
    </row>
    <row r="349" spans="1:16" ht="12" customHeight="1" x14ac:dyDescent="0.2">
      <c r="A349"/>
      <c r="B349"/>
      <c r="C349"/>
      <c r="H349"/>
      <c r="I349"/>
      <c r="J349"/>
      <c r="K349"/>
      <c r="L349"/>
      <c r="M349"/>
      <c r="N349"/>
      <c r="O349"/>
      <c r="P349"/>
    </row>
    <row r="350" spans="1:16" ht="12" customHeight="1" x14ac:dyDescent="0.2">
      <c r="A350"/>
      <c r="B350"/>
      <c r="C350"/>
      <c r="H350"/>
      <c r="I350"/>
      <c r="J350"/>
      <c r="K350"/>
      <c r="L350"/>
      <c r="M350"/>
      <c r="N350"/>
      <c r="O350"/>
      <c r="P350"/>
    </row>
    <row r="351" spans="1:16" s="115" customFormat="1" ht="12" customHeight="1" x14ac:dyDescent="0.2"/>
    <row r="352" spans="1:16" s="115" customFormat="1" ht="12" customHeight="1" x14ac:dyDescent="0.2"/>
    <row r="353" spans="1:16" x14ac:dyDescent="0.2">
      <c r="A353"/>
      <c r="B353"/>
      <c r="C353"/>
      <c r="H353"/>
      <c r="I353"/>
      <c r="J353"/>
      <c r="K353"/>
      <c r="L353"/>
      <c r="M353"/>
      <c r="N353"/>
      <c r="O353"/>
      <c r="P353"/>
    </row>
    <row r="354" spans="1:16" x14ac:dyDescent="0.2">
      <c r="A354"/>
      <c r="B354"/>
      <c r="C354"/>
      <c r="H354"/>
      <c r="I354"/>
      <c r="J354"/>
      <c r="K354"/>
      <c r="L354"/>
      <c r="M354"/>
      <c r="N354"/>
      <c r="O354"/>
      <c r="P354"/>
    </row>
    <row r="355" spans="1:16" x14ac:dyDescent="0.2">
      <c r="A355"/>
      <c r="B355"/>
      <c r="C355"/>
      <c r="H355"/>
      <c r="I355"/>
      <c r="J355"/>
      <c r="K355"/>
      <c r="L355"/>
      <c r="M355"/>
      <c r="N355"/>
      <c r="O355"/>
      <c r="P355"/>
    </row>
    <row r="356" spans="1:16" x14ac:dyDescent="0.2">
      <c r="A356"/>
      <c r="B356"/>
      <c r="C356"/>
      <c r="H356"/>
      <c r="I356"/>
      <c r="J356"/>
      <c r="K356"/>
      <c r="L356"/>
      <c r="M356"/>
      <c r="N356"/>
      <c r="O356"/>
      <c r="P356"/>
    </row>
    <row r="357" spans="1:16" x14ac:dyDescent="0.2">
      <c r="A357"/>
      <c r="B357"/>
      <c r="C357"/>
      <c r="H357"/>
      <c r="I357"/>
      <c r="J357"/>
      <c r="K357"/>
      <c r="L357"/>
      <c r="M357"/>
      <c r="N357"/>
      <c r="O357"/>
      <c r="P357"/>
    </row>
    <row r="358" spans="1:16" x14ac:dyDescent="0.2">
      <c r="A358"/>
      <c r="B358"/>
      <c r="C358"/>
      <c r="H358"/>
      <c r="I358"/>
      <c r="J358"/>
      <c r="K358"/>
      <c r="L358"/>
      <c r="M358"/>
      <c r="N358"/>
      <c r="O358"/>
      <c r="P358"/>
    </row>
    <row r="359" spans="1:16" x14ac:dyDescent="0.2">
      <c r="A359"/>
      <c r="B359"/>
      <c r="C359"/>
      <c r="H359"/>
      <c r="I359"/>
      <c r="J359"/>
      <c r="K359"/>
      <c r="L359"/>
      <c r="M359"/>
      <c r="N359"/>
      <c r="O359"/>
      <c r="P359"/>
    </row>
    <row r="360" spans="1:16" x14ac:dyDescent="0.2">
      <c r="A360"/>
      <c r="B360"/>
      <c r="C360"/>
      <c r="H360"/>
      <c r="I360"/>
      <c r="J360"/>
      <c r="K360"/>
      <c r="L360"/>
      <c r="M360"/>
      <c r="N360"/>
      <c r="O360"/>
      <c r="P360"/>
    </row>
    <row r="361" spans="1:16" x14ac:dyDescent="0.2">
      <c r="A361"/>
      <c r="B361"/>
      <c r="C361"/>
      <c r="H361"/>
      <c r="I361"/>
      <c r="J361"/>
      <c r="K361"/>
      <c r="L361"/>
      <c r="M361"/>
      <c r="N361"/>
      <c r="O361"/>
      <c r="P361"/>
    </row>
    <row r="362" spans="1:16" x14ac:dyDescent="0.2">
      <c r="A362"/>
      <c r="B362"/>
      <c r="C362"/>
      <c r="H362"/>
      <c r="I362"/>
      <c r="J362"/>
      <c r="K362"/>
      <c r="L362"/>
      <c r="M362"/>
      <c r="N362"/>
      <c r="O362"/>
      <c r="P362"/>
    </row>
    <row r="363" spans="1:16" x14ac:dyDescent="0.2">
      <c r="A363"/>
      <c r="B363"/>
      <c r="C363"/>
      <c r="H363"/>
      <c r="I363"/>
      <c r="J363"/>
      <c r="K363"/>
      <c r="L363"/>
      <c r="M363"/>
      <c r="N363"/>
      <c r="O363"/>
      <c r="P363"/>
    </row>
    <row r="364" spans="1:16" x14ac:dyDescent="0.2">
      <c r="A364"/>
      <c r="B364"/>
      <c r="C364"/>
      <c r="H364"/>
      <c r="I364"/>
      <c r="J364"/>
      <c r="K364"/>
      <c r="L364"/>
      <c r="M364"/>
      <c r="N364"/>
      <c r="O364"/>
      <c r="P364"/>
    </row>
    <row r="365" spans="1:16" x14ac:dyDescent="0.2">
      <c r="A365"/>
      <c r="B365"/>
      <c r="C365"/>
      <c r="H365"/>
      <c r="I365"/>
      <c r="J365"/>
      <c r="K365"/>
      <c r="L365"/>
      <c r="M365"/>
      <c r="N365"/>
      <c r="O365"/>
      <c r="P365"/>
    </row>
    <row r="366" spans="1:16" x14ac:dyDescent="0.2">
      <c r="A366"/>
      <c r="B366"/>
      <c r="C366"/>
      <c r="H366"/>
      <c r="I366"/>
      <c r="J366"/>
      <c r="K366"/>
      <c r="L366"/>
      <c r="M366"/>
      <c r="N366"/>
      <c r="O366"/>
      <c r="P366"/>
    </row>
    <row r="367" spans="1:16" ht="12" customHeight="1" x14ac:dyDescent="0.2">
      <c r="A367"/>
      <c r="B367"/>
      <c r="C367"/>
      <c r="H367"/>
      <c r="I367"/>
      <c r="J367"/>
      <c r="K367"/>
      <c r="L367"/>
      <c r="M367"/>
      <c r="N367"/>
      <c r="O367"/>
      <c r="P367"/>
    </row>
    <row r="368" spans="1:16" ht="12" customHeight="1" x14ac:dyDescent="0.2">
      <c r="A368"/>
      <c r="B368"/>
      <c r="C368"/>
      <c r="H368"/>
      <c r="I368"/>
      <c r="J368"/>
      <c r="K368"/>
      <c r="L368"/>
      <c r="M368"/>
      <c r="N368"/>
      <c r="O368"/>
      <c r="P368"/>
    </row>
    <row r="369" spans="1:16" ht="12" customHeight="1" x14ac:dyDescent="0.2">
      <c r="A369"/>
      <c r="B369"/>
      <c r="C369"/>
      <c r="H369"/>
      <c r="I369"/>
      <c r="J369"/>
      <c r="K369"/>
      <c r="L369"/>
      <c r="M369"/>
      <c r="N369"/>
      <c r="O369"/>
      <c r="P369"/>
    </row>
    <row r="370" spans="1:16" ht="12" customHeight="1" x14ac:dyDescent="0.2">
      <c r="A370"/>
      <c r="B370"/>
      <c r="C370"/>
      <c r="H370"/>
      <c r="I370"/>
      <c r="J370"/>
      <c r="K370"/>
      <c r="L370"/>
      <c r="M370"/>
      <c r="N370"/>
      <c r="O370"/>
      <c r="P370"/>
    </row>
    <row r="371" spans="1:16" ht="12" customHeight="1" x14ac:dyDescent="0.2">
      <c r="A371"/>
      <c r="B371"/>
      <c r="C371"/>
      <c r="H371"/>
      <c r="I371"/>
      <c r="J371"/>
      <c r="K371"/>
      <c r="L371"/>
      <c r="M371"/>
      <c r="N371"/>
      <c r="O371"/>
      <c r="P371"/>
    </row>
    <row r="372" spans="1:16" ht="12" customHeight="1" x14ac:dyDescent="0.2">
      <c r="A372"/>
      <c r="B372"/>
      <c r="C372"/>
      <c r="H372"/>
      <c r="I372"/>
      <c r="J372"/>
      <c r="K372"/>
      <c r="L372"/>
      <c r="M372"/>
      <c r="N372"/>
      <c r="O372"/>
      <c r="P372"/>
    </row>
    <row r="373" spans="1:16" ht="12" customHeight="1" x14ac:dyDescent="0.2">
      <c r="A373"/>
      <c r="B373"/>
      <c r="C373"/>
      <c r="H373"/>
      <c r="I373"/>
      <c r="J373"/>
      <c r="K373"/>
      <c r="L373"/>
      <c r="M373"/>
      <c r="N373"/>
      <c r="O373"/>
      <c r="P373"/>
    </row>
    <row r="374" spans="1:16" s="115" customFormat="1" ht="12" customHeight="1" x14ac:dyDescent="0.2"/>
    <row r="375" spans="1:16" ht="12" customHeight="1" x14ac:dyDescent="0.2">
      <c r="A375"/>
      <c r="B375"/>
      <c r="C375"/>
      <c r="H375"/>
      <c r="I375"/>
      <c r="J375"/>
      <c r="K375"/>
      <c r="L375"/>
      <c r="M375"/>
      <c r="N375"/>
      <c r="O375"/>
      <c r="P375"/>
    </row>
    <row r="376" spans="1:16" x14ac:dyDescent="0.2">
      <c r="A376"/>
      <c r="B376"/>
      <c r="C376"/>
      <c r="H376"/>
      <c r="I376"/>
      <c r="J376"/>
      <c r="K376"/>
      <c r="L376"/>
      <c r="M376"/>
      <c r="N376"/>
      <c r="O376"/>
      <c r="P376"/>
    </row>
    <row r="377" spans="1:16" x14ac:dyDescent="0.2">
      <c r="A377"/>
      <c r="B377"/>
      <c r="C377"/>
      <c r="H377"/>
      <c r="I377"/>
      <c r="J377"/>
      <c r="K377"/>
      <c r="L377"/>
      <c r="M377"/>
      <c r="N377"/>
      <c r="O377"/>
      <c r="P377"/>
    </row>
    <row r="378" spans="1:16" x14ac:dyDescent="0.2">
      <c r="A378"/>
      <c r="B378"/>
      <c r="C378"/>
      <c r="H378"/>
      <c r="I378"/>
      <c r="J378"/>
      <c r="K378"/>
      <c r="L378"/>
      <c r="M378"/>
      <c r="N378"/>
      <c r="O378"/>
      <c r="P378"/>
    </row>
    <row r="379" spans="1:16" x14ac:dyDescent="0.2">
      <c r="A379"/>
      <c r="B379"/>
      <c r="C379"/>
      <c r="H379"/>
      <c r="I379"/>
      <c r="J379"/>
      <c r="K379"/>
      <c r="L379"/>
      <c r="M379"/>
      <c r="N379"/>
      <c r="O379"/>
      <c r="P379"/>
    </row>
    <row r="380" spans="1:16" x14ac:dyDescent="0.2">
      <c r="A380"/>
      <c r="B380"/>
      <c r="C380"/>
      <c r="H380"/>
      <c r="I380"/>
      <c r="J380"/>
      <c r="K380"/>
      <c r="L380"/>
      <c r="M380"/>
      <c r="N380"/>
      <c r="O380"/>
      <c r="P380"/>
    </row>
    <row r="381" spans="1:16" x14ac:dyDescent="0.2">
      <c r="A381"/>
      <c r="B381"/>
      <c r="C381"/>
      <c r="H381"/>
      <c r="I381"/>
      <c r="J381"/>
      <c r="K381"/>
      <c r="L381"/>
      <c r="M381"/>
      <c r="N381"/>
      <c r="O381"/>
      <c r="P381"/>
    </row>
    <row r="382" spans="1:16" x14ac:dyDescent="0.2">
      <c r="A382"/>
      <c r="B382"/>
      <c r="C382"/>
      <c r="H382"/>
      <c r="I382"/>
      <c r="J382"/>
      <c r="K382"/>
      <c r="L382"/>
      <c r="M382"/>
      <c r="N382"/>
      <c r="O382"/>
      <c r="P382"/>
    </row>
    <row r="383" spans="1:16" x14ac:dyDescent="0.2">
      <c r="A383"/>
      <c r="B383"/>
      <c r="C383"/>
      <c r="H383"/>
      <c r="I383"/>
      <c r="J383"/>
      <c r="K383"/>
      <c r="L383"/>
      <c r="M383"/>
      <c r="N383"/>
      <c r="O383"/>
      <c r="P383"/>
    </row>
    <row r="384" spans="1:16" x14ac:dyDescent="0.2">
      <c r="A384"/>
      <c r="B384"/>
      <c r="C384"/>
      <c r="H384"/>
      <c r="I384"/>
      <c r="J384"/>
      <c r="K384"/>
      <c r="L384"/>
      <c r="M384"/>
      <c r="N384"/>
      <c r="O384"/>
      <c r="P384"/>
    </row>
    <row r="385" spans="1:16" x14ac:dyDescent="0.2">
      <c r="A385"/>
      <c r="B385"/>
      <c r="C385"/>
      <c r="H385"/>
      <c r="I385"/>
      <c r="J385"/>
      <c r="K385"/>
      <c r="L385"/>
      <c r="M385"/>
      <c r="N385"/>
      <c r="O385"/>
      <c r="P385"/>
    </row>
    <row r="386" spans="1:16" x14ac:dyDescent="0.2">
      <c r="A386"/>
      <c r="B386"/>
      <c r="C386"/>
      <c r="H386"/>
      <c r="I386"/>
      <c r="J386"/>
      <c r="K386"/>
      <c r="L386"/>
      <c r="M386"/>
      <c r="N386"/>
      <c r="O386"/>
      <c r="P386"/>
    </row>
    <row r="387" spans="1:16" x14ac:dyDescent="0.2">
      <c r="A387"/>
      <c r="B387"/>
      <c r="C387"/>
      <c r="H387"/>
      <c r="I387"/>
      <c r="J387"/>
      <c r="K387"/>
      <c r="L387"/>
      <c r="M387"/>
      <c r="N387"/>
      <c r="O387"/>
      <c r="P387"/>
    </row>
    <row r="388" spans="1:16" ht="12" customHeight="1" x14ac:dyDescent="0.2">
      <c r="A388"/>
      <c r="B388"/>
      <c r="C388"/>
      <c r="H388"/>
      <c r="I388"/>
      <c r="J388"/>
      <c r="K388"/>
      <c r="L388"/>
      <c r="M388"/>
      <c r="N388"/>
      <c r="O388"/>
      <c r="P388"/>
    </row>
    <row r="389" spans="1:16" ht="12" customHeight="1" x14ac:dyDescent="0.2">
      <c r="A389"/>
      <c r="B389"/>
      <c r="C389"/>
      <c r="H389"/>
      <c r="I389"/>
      <c r="J389"/>
      <c r="K389"/>
      <c r="L389"/>
      <c r="M389"/>
      <c r="N389"/>
      <c r="O389"/>
      <c r="P389"/>
    </row>
    <row r="390" spans="1:16" ht="12" customHeight="1" x14ac:dyDescent="0.2">
      <c r="A390"/>
      <c r="B390"/>
      <c r="C390"/>
      <c r="H390"/>
      <c r="I390"/>
      <c r="J390"/>
      <c r="K390"/>
      <c r="L390"/>
      <c r="M390"/>
      <c r="N390"/>
      <c r="O390"/>
      <c r="P390"/>
    </row>
    <row r="391" spans="1:16" ht="12" customHeight="1" x14ac:dyDescent="0.2">
      <c r="A391"/>
      <c r="B391"/>
      <c r="C391"/>
      <c r="H391"/>
      <c r="I391"/>
      <c r="J391"/>
      <c r="K391"/>
      <c r="L391"/>
      <c r="M391"/>
      <c r="N391"/>
      <c r="O391"/>
      <c r="P391"/>
    </row>
    <row r="392" spans="1:16" ht="12" customHeight="1" x14ac:dyDescent="0.2">
      <c r="A392"/>
      <c r="B392"/>
      <c r="C392"/>
      <c r="H392"/>
      <c r="I392"/>
      <c r="J392"/>
      <c r="K392"/>
      <c r="L392"/>
      <c r="M392"/>
      <c r="N392"/>
      <c r="O392"/>
      <c r="P392"/>
    </row>
    <row r="393" spans="1:16" ht="12" customHeight="1" x14ac:dyDescent="0.2">
      <c r="A393"/>
      <c r="B393"/>
      <c r="C393"/>
      <c r="H393"/>
      <c r="I393"/>
      <c r="J393"/>
      <c r="K393"/>
      <c r="L393"/>
      <c r="M393"/>
      <c r="N393"/>
      <c r="O393"/>
      <c r="P393"/>
    </row>
    <row r="394" spans="1:16" ht="12" customHeight="1" x14ac:dyDescent="0.2">
      <c r="A394"/>
      <c r="B394"/>
      <c r="C394"/>
      <c r="H394"/>
      <c r="I394"/>
      <c r="J394"/>
      <c r="K394"/>
      <c r="L394"/>
      <c r="M394"/>
      <c r="N394"/>
      <c r="O394"/>
      <c r="P394"/>
    </row>
    <row r="395" spans="1:16" ht="12" customHeight="1" x14ac:dyDescent="0.2">
      <c r="A395"/>
      <c r="B395"/>
      <c r="C395"/>
      <c r="H395"/>
      <c r="I395"/>
      <c r="J395"/>
      <c r="K395"/>
      <c r="L395"/>
      <c r="M395"/>
      <c r="N395"/>
      <c r="O395"/>
      <c r="P395"/>
    </row>
    <row r="396" spans="1:16" s="115" customFormat="1" ht="12" customHeight="1" x14ac:dyDescent="0.2"/>
    <row r="397" spans="1:16" ht="12" customHeight="1" x14ac:dyDescent="0.2">
      <c r="A397"/>
      <c r="B397"/>
      <c r="C397"/>
      <c r="H397"/>
      <c r="I397"/>
      <c r="J397"/>
      <c r="K397"/>
      <c r="L397"/>
      <c r="M397"/>
      <c r="N397"/>
      <c r="O397"/>
      <c r="P397"/>
    </row>
    <row r="398" spans="1:16" x14ac:dyDescent="0.2">
      <c r="A398"/>
      <c r="B398"/>
      <c r="C398"/>
      <c r="H398"/>
      <c r="I398"/>
      <c r="J398"/>
      <c r="K398"/>
      <c r="L398"/>
      <c r="M398"/>
      <c r="N398"/>
      <c r="O398"/>
      <c r="P398"/>
    </row>
    <row r="399" spans="1:16" x14ac:dyDescent="0.2">
      <c r="A399"/>
      <c r="B399"/>
      <c r="C399"/>
      <c r="H399"/>
      <c r="I399"/>
      <c r="J399"/>
      <c r="K399"/>
      <c r="L399"/>
      <c r="M399"/>
      <c r="N399"/>
      <c r="O399"/>
      <c r="P399"/>
    </row>
    <row r="400" spans="1:16" x14ac:dyDescent="0.2">
      <c r="A400"/>
      <c r="B400"/>
      <c r="C400"/>
      <c r="H400"/>
      <c r="I400"/>
      <c r="J400"/>
      <c r="K400"/>
      <c r="L400"/>
      <c r="M400"/>
      <c r="N400"/>
      <c r="O400"/>
      <c r="P400"/>
    </row>
    <row r="401" spans="1:16" x14ac:dyDescent="0.2">
      <c r="A401"/>
      <c r="B401"/>
      <c r="C401"/>
      <c r="H401"/>
      <c r="I401"/>
      <c r="J401"/>
      <c r="K401"/>
      <c r="L401"/>
      <c r="M401"/>
      <c r="N401"/>
      <c r="O401"/>
      <c r="P401"/>
    </row>
    <row r="402" spans="1:16" x14ac:dyDescent="0.2">
      <c r="A402"/>
      <c r="B402"/>
      <c r="C402"/>
      <c r="H402"/>
      <c r="I402"/>
      <c r="J402"/>
      <c r="K402"/>
      <c r="L402"/>
      <c r="M402"/>
      <c r="N402"/>
      <c r="O402"/>
      <c r="P402"/>
    </row>
    <row r="403" spans="1:16" x14ac:dyDescent="0.2">
      <c r="A403"/>
      <c r="B403"/>
      <c r="C403"/>
      <c r="H403"/>
      <c r="I403"/>
      <c r="J403"/>
      <c r="K403"/>
      <c r="L403"/>
      <c r="M403"/>
      <c r="N403"/>
      <c r="O403"/>
      <c r="P403"/>
    </row>
    <row r="404" spans="1:16" x14ac:dyDescent="0.2">
      <c r="A404"/>
      <c r="B404"/>
      <c r="C404"/>
      <c r="H404"/>
      <c r="I404"/>
      <c r="J404"/>
      <c r="K404"/>
      <c r="L404"/>
      <c r="M404"/>
      <c r="N404"/>
      <c r="O404"/>
      <c r="P404"/>
    </row>
    <row r="405" spans="1:16" x14ac:dyDescent="0.2">
      <c r="A405"/>
      <c r="B405"/>
      <c r="C405"/>
      <c r="H405"/>
      <c r="I405"/>
      <c r="J405"/>
      <c r="K405"/>
      <c r="L405"/>
      <c r="M405"/>
      <c r="N405"/>
      <c r="O405"/>
      <c r="P405"/>
    </row>
    <row r="406" spans="1:16" x14ac:dyDescent="0.2">
      <c r="A406"/>
      <c r="B406"/>
      <c r="C406"/>
      <c r="H406"/>
      <c r="I406"/>
      <c r="J406"/>
      <c r="K406"/>
      <c r="L406"/>
      <c r="M406"/>
      <c r="N406"/>
      <c r="O406"/>
      <c r="P406"/>
    </row>
    <row r="407" spans="1:16" x14ac:dyDescent="0.2">
      <c r="A407"/>
      <c r="B407"/>
      <c r="C407"/>
      <c r="H407"/>
      <c r="I407"/>
      <c r="J407"/>
      <c r="K407"/>
      <c r="L407"/>
      <c r="M407"/>
      <c r="N407"/>
      <c r="O407"/>
      <c r="P407"/>
    </row>
    <row r="408" spans="1:16" x14ac:dyDescent="0.2">
      <c r="A408"/>
      <c r="B408"/>
      <c r="C408"/>
      <c r="H408"/>
      <c r="I408"/>
      <c r="J408"/>
      <c r="K408"/>
      <c r="L408"/>
      <c r="M408"/>
      <c r="N408"/>
      <c r="O408"/>
      <c r="P408"/>
    </row>
    <row r="409" spans="1:16" x14ac:dyDescent="0.2">
      <c r="A409"/>
      <c r="B409"/>
      <c r="C409"/>
      <c r="H409"/>
      <c r="I409"/>
      <c r="J409"/>
      <c r="K409"/>
      <c r="L409"/>
      <c r="M409"/>
      <c r="N409"/>
      <c r="O409"/>
      <c r="P409"/>
    </row>
    <row r="410" spans="1:16" x14ac:dyDescent="0.2">
      <c r="A410"/>
      <c r="B410"/>
      <c r="C410"/>
      <c r="H410"/>
      <c r="I410"/>
      <c r="J410"/>
      <c r="K410"/>
      <c r="L410"/>
      <c r="M410"/>
      <c r="N410"/>
      <c r="O410"/>
      <c r="P410"/>
    </row>
    <row r="411" spans="1:16" ht="12" customHeight="1" x14ac:dyDescent="0.2">
      <c r="A411"/>
      <c r="B411"/>
      <c r="C411"/>
      <c r="H411"/>
      <c r="I411"/>
      <c r="J411"/>
      <c r="K411"/>
      <c r="L411"/>
      <c r="M411"/>
      <c r="N411"/>
      <c r="O411"/>
      <c r="P411"/>
    </row>
    <row r="412" spans="1:16" ht="12" customHeight="1" x14ac:dyDescent="0.2">
      <c r="A412"/>
      <c r="B412"/>
      <c r="C412"/>
      <c r="H412"/>
      <c r="I412"/>
      <c r="J412"/>
      <c r="K412"/>
      <c r="L412"/>
      <c r="M412"/>
      <c r="N412"/>
      <c r="O412"/>
      <c r="P412"/>
    </row>
    <row r="413" spans="1:16" ht="12" customHeight="1" x14ac:dyDescent="0.2">
      <c r="A413"/>
      <c r="B413"/>
      <c r="C413"/>
      <c r="H413"/>
      <c r="I413"/>
      <c r="J413"/>
      <c r="K413"/>
      <c r="L413"/>
      <c r="M413"/>
      <c r="N413"/>
      <c r="O413"/>
      <c r="P413"/>
    </row>
    <row r="414" spans="1:16" ht="12" customHeight="1" x14ac:dyDescent="0.2">
      <c r="A414"/>
      <c r="B414"/>
      <c r="C414"/>
      <c r="H414"/>
      <c r="I414"/>
      <c r="J414"/>
      <c r="K414"/>
      <c r="L414"/>
      <c r="M414"/>
      <c r="N414"/>
      <c r="O414"/>
      <c r="P414"/>
    </row>
    <row r="415" spans="1:16" ht="12" customHeight="1" x14ac:dyDescent="0.2">
      <c r="A415"/>
      <c r="B415"/>
      <c r="C415"/>
      <c r="H415"/>
      <c r="I415"/>
      <c r="J415"/>
      <c r="K415"/>
      <c r="L415"/>
      <c r="M415"/>
      <c r="N415"/>
      <c r="O415"/>
      <c r="P415"/>
    </row>
    <row r="416" spans="1:16" ht="12" customHeight="1" x14ac:dyDescent="0.2">
      <c r="A416"/>
      <c r="B416"/>
      <c r="C416"/>
      <c r="H416"/>
      <c r="I416"/>
      <c r="J416"/>
      <c r="K416"/>
      <c r="L416"/>
      <c r="M416"/>
      <c r="N416"/>
      <c r="O416"/>
      <c r="P416"/>
    </row>
    <row r="417" spans="1:16" ht="12" customHeight="1" x14ac:dyDescent="0.2">
      <c r="A417"/>
      <c r="B417"/>
      <c r="C417"/>
      <c r="H417"/>
      <c r="I417"/>
      <c r="J417"/>
      <c r="K417"/>
      <c r="L417"/>
      <c r="M417"/>
      <c r="N417"/>
      <c r="O417"/>
      <c r="P417"/>
    </row>
    <row r="418" spans="1:16" ht="12" customHeight="1" x14ac:dyDescent="0.2">
      <c r="A418"/>
      <c r="B418"/>
      <c r="C418"/>
      <c r="H418"/>
      <c r="I418"/>
      <c r="J418"/>
      <c r="K418"/>
      <c r="L418"/>
      <c r="M418"/>
      <c r="N418"/>
      <c r="O418"/>
      <c r="P418"/>
    </row>
    <row r="419" spans="1:16" ht="12" customHeight="1" x14ac:dyDescent="0.2">
      <c r="A419"/>
      <c r="B419"/>
      <c r="C419"/>
      <c r="H419"/>
      <c r="I419"/>
      <c r="J419"/>
      <c r="K419"/>
      <c r="L419"/>
      <c r="M419"/>
      <c r="N419"/>
      <c r="O419"/>
      <c r="P419"/>
    </row>
    <row r="420" spans="1:16" x14ac:dyDescent="0.2">
      <c r="A420"/>
      <c r="B420"/>
      <c r="C420"/>
      <c r="H420"/>
      <c r="I420"/>
      <c r="J420"/>
      <c r="K420"/>
      <c r="L420"/>
      <c r="M420"/>
      <c r="N420"/>
      <c r="O420"/>
      <c r="P420"/>
    </row>
    <row r="421" spans="1:16" x14ac:dyDescent="0.2">
      <c r="A421"/>
      <c r="B421"/>
      <c r="C421"/>
      <c r="H421"/>
      <c r="I421"/>
      <c r="J421"/>
      <c r="K421"/>
      <c r="L421"/>
      <c r="M421"/>
      <c r="N421"/>
      <c r="O421"/>
      <c r="P421"/>
    </row>
    <row r="422" spans="1:16" x14ac:dyDescent="0.2">
      <c r="A422"/>
      <c r="B422"/>
      <c r="C422"/>
      <c r="H422"/>
      <c r="I422"/>
      <c r="J422"/>
      <c r="K422"/>
      <c r="L422"/>
      <c r="M422"/>
      <c r="N422"/>
      <c r="O422"/>
      <c r="P422"/>
    </row>
    <row r="423" spans="1:16" x14ac:dyDescent="0.2">
      <c r="A423"/>
      <c r="B423"/>
      <c r="C423"/>
      <c r="H423"/>
      <c r="I423"/>
      <c r="J423"/>
      <c r="K423"/>
      <c r="L423"/>
      <c r="M423"/>
      <c r="N423"/>
      <c r="O423"/>
      <c r="P423"/>
    </row>
    <row r="424" spans="1:16" x14ac:dyDescent="0.2">
      <c r="A424"/>
      <c r="B424"/>
      <c r="C424"/>
      <c r="H424"/>
      <c r="I424"/>
      <c r="J424"/>
      <c r="K424"/>
      <c r="L424"/>
      <c r="M424"/>
      <c r="N424"/>
      <c r="O424"/>
      <c r="P424"/>
    </row>
    <row r="425" spans="1:16" x14ac:dyDescent="0.2">
      <c r="A425"/>
      <c r="B425"/>
      <c r="C425"/>
      <c r="H425"/>
      <c r="I425"/>
      <c r="J425"/>
      <c r="K425"/>
      <c r="L425"/>
      <c r="M425"/>
      <c r="N425"/>
      <c r="O425"/>
      <c r="P425"/>
    </row>
    <row r="426" spans="1:16" x14ac:dyDescent="0.2">
      <c r="A426"/>
      <c r="B426"/>
      <c r="C426"/>
      <c r="H426"/>
      <c r="I426"/>
      <c r="J426"/>
      <c r="K426"/>
      <c r="L426"/>
      <c r="M426"/>
      <c r="N426"/>
      <c r="O426"/>
      <c r="P426"/>
    </row>
    <row r="427" spans="1:16" x14ac:dyDescent="0.2">
      <c r="A427"/>
      <c r="B427"/>
      <c r="C427"/>
      <c r="H427"/>
      <c r="I427"/>
      <c r="J427"/>
      <c r="K427"/>
      <c r="L427"/>
      <c r="M427"/>
      <c r="N427"/>
      <c r="O427"/>
      <c r="P427"/>
    </row>
    <row r="428" spans="1:16" x14ac:dyDescent="0.2">
      <c r="A428"/>
      <c r="B428"/>
      <c r="C428"/>
      <c r="H428"/>
      <c r="I428"/>
      <c r="J428"/>
      <c r="K428"/>
      <c r="L428"/>
      <c r="M428"/>
      <c r="N428"/>
      <c r="O428"/>
      <c r="P428"/>
    </row>
    <row r="429" spans="1:16" x14ac:dyDescent="0.2">
      <c r="A429"/>
      <c r="B429"/>
      <c r="C429"/>
      <c r="H429"/>
      <c r="I429"/>
      <c r="J429"/>
      <c r="K429"/>
      <c r="L429"/>
      <c r="M429"/>
      <c r="N429"/>
      <c r="O429"/>
      <c r="P429"/>
    </row>
    <row r="430" spans="1:16" x14ac:dyDescent="0.2">
      <c r="A430"/>
      <c r="B430"/>
      <c r="C430"/>
      <c r="H430"/>
      <c r="I430"/>
      <c r="J430"/>
      <c r="K430"/>
      <c r="L430"/>
      <c r="M430"/>
      <c r="N430"/>
      <c r="O430"/>
      <c r="P430"/>
    </row>
    <row r="431" spans="1:16" x14ac:dyDescent="0.2">
      <c r="A431"/>
      <c r="B431"/>
      <c r="C431"/>
      <c r="H431"/>
      <c r="I431"/>
      <c r="J431"/>
      <c r="K431"/>
      <c r="L431"/>
      <c r="M431"/>
      <c r="N431"/>
      <c r="O431"/>
      <c r="P431"/>
    </row>
    <row r="432" spans="1:16" ht="12" customHeight="1" x14ac:dyDescent="0.2">
      <c r="A432"/>
      <c r="B432"/>
      <c r="C432"/>
      <c r="H432"/>
      <c r="I432"/>
      <c r="J432"/>
      <c r="K432"/>
      <c r="L432"/>
      <c r="M432"/>
      <c r="N432"/>
      <c r="O432"/>
      <c r="P432"/>
    </row>
    <row r="433" spans="1:16" ht="12" customHeight="1" x14ac:dyDescent="0.2">
      <c r="A433"/>
      <c r="B433"/>
      <c r="C433"/>
      <c r="H433"/>
      <c r="I433"/>
      <c r="J433"/>
      <c r="K433"/>
      <c r="L433"/>
      <c r="M433"/>
      <c r="N433"/>
      <c r="O433"/>
      <c r="P433"/>
    </row>
    <row r="434" spans="1:16" ht="12" customHeight="1" x14ac:dyDescent="0.2">
      <c r="A434"/>
      <c r="B434"/>
      <c r="C434"/>
      <c r="H434"/>
      <c r="I434"/>
      <c r="J434"/>
      <c r="K434"/>
      <c r="L434"/>
      <c r="M434"/>
      <c r="N434"/>
      <c r="O434"/>
      <c r="P434"/>
    </row>
    <row r="435" spans="1:16" ht="12" customHeight="1" x14ac:dyDescent="0.2">
      <c r="A435"/>
      <c r="B435"/>
      <c r="C435"/>
      <c r="H435"/>
      <c r="I435"/>
      <c r="J435"/>
      <c r="K435"/>
      <c r="L435"/>
      <c r="M435"/>
      <c r="N435"/>
      <c r="O435"/>
      <c r="P435"/>
    </row>
    <row r="436" spans="1:16" ht="12" customHeight="1" x14ac:dyDescent="0.2">
      <c r="A436"/>
      <c r="B436"/>
      <c r="C436"/>
      <c r="H436"/>
      <c r="I436"/>
      <c r="J436"/>
      <c r="K436"/>
      <c r="L436"/>
      <c r="M436"/>
      <c r="N436"/>
      <c r="O436"/>
      <c r="P436"/>
    </row>
    <row r="437" spans="1:16" ht="12" customHeight="1" x14ac:dyDescent="0.2">
      <c r="A437"/>
      <c r="B437"/>
      <c r="C437"/>
      <c r="H437"/>
      <c r="I437"/>
      <c r="J437"/>
      <c r="K437"/>
      <c r="L437"/>
      <c r="M437"/>
      <c r="N437"/>
      <c r="O437"/>
      <c r="P437"/>
    </row>
    <row r="438" spans="1:16" ht="12" customHeight="1" x14ac:dyDescent="0.2">
      <c r="A438"/>
      <c r="B438"/>
      <c r="C438"/>
      <c r="H438"/>
      <c r="I438"/>
      <c r="J438"/>
      <c r="K438"/>
      <c r="L438"/>
      <c r="M438"/>
      <c r="N438"/>
      <c r="O438"/>
      <c r="P438"/>
    </row>
    <row r="439" spans="1:16" s="115" customFormat="1" ht="12" customHeight="1" x14ac:dyDescent="0.2"/>
    <row r="440" spans="1:16" ht="12" customHeight="1" x14ac:dyDescent="0.2">
      <c r="A440"/>
      <c r="B440"/>
      <c r="C440"/>
      <c r="H440"/>
      <c r="I440"/>
      <c r="J440"/>
      <c r="K440"/>
      <c r="L440"/>
      <c r="M440"/>
      <c r="N440"/>
      <c r="O440"/>
      <c r="P440"/>
    </row>
    <row r="441" spans="1:16" x14ac:dyDescent="0.2">
      <c r="A441"/>
      <c r="B441"/>
      <c r="C441"/>
      <c r="H441"/>
      <c r="I441"/>
      <c r="J441"/>
      <c r="K441"/>
      <c r="L441"/>
      <c r="M441"/>
      <c r="N441"/>
      <c r="O441"/>
      <c r="P441"/>
    </row>
    <row r="442" spans="1:16" x14ac:dyDescent="0.2">
      <c r="A442"/>
      <c r="B442"/>
      <c r="C442"/>
      <c r="H442"/>
      <c r="I442"/>
      <c r="J442"/>
      <c r="K442"/>
      <c r="L442"/>
      <c r="M442"/>
      <c r="N442"/>
      <c r="O442"/>
      <c r="P442"/>
    </row>
    <row r="443" spans="1:16" x14ac:dyDescent="0.2">
      <c r="A443"/>
      <c r="B443"/>
      <c r="C443"/>
      <c r="H443"/>
      <c r="I443"/>
      <c r="J443"/>
      <c r="K443"/>
      <c r="L443"/>
      <c r="M443"/>
      <c r="N443"/>
      <c r="O443"/>
      <c r="P443"/>
    </row>
    <row r="444" spans="1:16" x14ac:dyDescent="0.2">
      <c r="A444"/>
      <c r="B444"/>
      <c r="C444"/>
      <c r="H444"/>
      <c r="I444"/>
      <c r="J444"/>
      <c r="K444"/>
      <c r="L444"/>
      <c r="M444"/>
      <c r="N444"/>
      <c r="O444"/>
      <c r="P444"/>
    </row>
    <row r="445" spans="1:16" x14ac:dyDescent="0.2">
      <c r="A445"/>
      <c r="B445"/>
      <c r="C445"/>
      <c r="H445"/>
      <c r="I445"/>
      <c r="J445"/>
      <c r="K445"/>
      <c r="L445"/>
      <c r="M445"/>
      <c r="N445"/>
      <c r="O445"/>
      <c r="P445"/>
    </row>
    <row r="446" spans="1:16" x14ac:dyDescent="0.2">
      <c r="A446"/>
      <c r="B446"/>
      <c r="C446"/>
      <c r="H446"/>
      <c r="I446"/>
      <c r="J446"/>
      <c r="K446"/>
      <c r="L446"/>
      <c r="M446"/>
      <c r="N446"/>
      <c r="O446"/>
      <c r="P446"/>
    </row>
    <row r="447" spans="1:16" x14ac:dyDescent="0.2">
      <c r="A447"/>
      <c r="B447"/>
      <c r="C447"/>
      <c r="H447"/>
      <c r="I447"/>
      <c r="J447"/>
      <c r="K447"/>
      <c r="L447"/>
      <c r="M447"/>
      <c r="N447"/>
      <c r="O447"/>
      <c r="P447"/>
    </row>
    <row r="448" spans="1:16" x14ac:dyDescent="0.2">
      <c r="A448"/>
      <c r="B448"/>
      <c r="C448"/>
      <c r="H448"/>
      <c r="I448"/>
      <c r="J448"/>
      <c r="K448"/>
      <c r="L448"/>
      <c r="M448"/>
      <c r="N448"/>
      <c r="O448"/>
      <c r="P448"/>
    </row>
    <row r="449" spans="1:16" x14ac:dyDescent="0.2">
      <c r="A449"/>
      <c r="B449"/>
      <c r="C449"/>
      <c r="H449"/>
      <c r="I449"/>
      <c r="J449"/>
      <c r="K449"/>
      <c r="L449"/>
      <c r="M449"/>
      <c r="N449"/>
      <c r="O449"/>
      <c r="P449"/>
    </row>
    <row r="450" spans="1:16" x14ac:dyDescent="0.2">
      <c r="A450"/>
      <c r="B450"/>
      <c r="C450"/>
      <c r="H450"/>
      <c r="I450"/>
      <c r="J450"/>
      <c r="K450"/>
      <c r="L450"/>
      <c r="M450"/>
      <c r="N450"/>
      <c r="O450"/>
      <c r="P450"/>
    </row>
    <row r="451" spans="1:16" ht="12" customHeight="1" x14ac:dyDescent="0.2">
      <c r="A451"/>
      <c r="B451"/>
      <c r="C451"/>
      <c r="H451"/>
      <c r="I451"/>
      <c r="J451"/>
      <c r="K451"/>
      <c r="L451"/>
      <c r="M451"/>
      <c r="N451"/>
      <c r="O451"/>
      <c r="P451"/>
    </row>
    <row r="452" spans="1:16" ht="12" customHeight="1" x14ac:dyDescent="0.2">
      <c r="A452"/>
      <c r="B452"/>
      <c r="C452"/>
      <c r="H452"/>
      <c r="I452"/>
      <c r="J452"/>
      <c r="K452"/>
      <c r="L452"/>
      <c r="M452"/>
      <c r="N452"/>
      <c r="O452"/>
      <c r="P452"/>
    </row>
    <row r="453" spans="1:16" ht="12" customHeight="1" x14ac:dyDescent="0.2">
      <c r="A453"/>
      <c r="B453"/>
      <c r="C453"/>
      <c r="H453"/>
      <c r="I453"/>
      <c r="J453"/>
      <c r="K453"/>
      <c r="L453"/>
      <c r="M453"/>
      <c r="N453"/>
      <c r="O453"/>
      <c r="P453"/>
    </row>
    <row r="454" spans="1:16" ht="12" customHeight="1" x14ac:dyDescent="0.2">
      <c r="A454"/>
      <c r="B454"/>
      <c r="C454"/>
      <c r="H454"/>
      <c r="I454"/>
      <c r="J454"/>
      <c r="K454"/>
      <c r="L454"/>
      <c r="M454"/>
      <c r="N454"/>
      <c r="O454"/>
      <c r="P454"/>
    </row>
    <row r="455" spans="1:16" ht="12" customHeight="1" x14ac:dyDescent="0.2">
      <c r="A455"/>
      <c r="B455"/>
      <c r="C455"/>
      <c r="H455"/>
      <c r="I455"/>
      <c r="J455"/>
      <c r="K455"/>
      <c r="L455"/>
      <c r="M455"/>
      <c r="N455"/>
      <c r="O455"/>
      <c r="P455"/>
    </row>
    <row r="456" spans="1:16" ht="15" customHeight="1" x14ac:dyDescent="0.2">
      <c r="A456"/>
      <c r="B456"/>
      <c r="C456"/>
      <c r="H456"/>
      <c r="I456"/>
      <c r="J456"/>
      <c r="K456"/>
      <c r="L456"/>
      <c r="M456"/>
      <c r="N456"/>
      <c r="O456"/>
      <c r="P456"/>
    </row>
    <row r="457" spans="1:16" ht="15" customHeight="1" x14ac:dyDescent="0.2">
      <c r="A457"/>
      <c r="B457"/>
      <c r="C457"/>
      <c r="H457"/>
      <c r="I457"/>
      <c r="J457"/>
      <c r="K457"/>
      <c r="L457"/>
      <c r="M457"/>
      <c r="N457"/>
      <c r="O457"/>
      <c r="P457"/>
    </row>
    <row r="458" spans="1:16" x14ac:dyDescent="0.2">
      <c r="A458"/>
      <c r="B458"/>
      <c r="C458"/>
      <c r="H458"/>
      <c r="I458"/>
      <c r="J458"/>
      <c r="K458"/>
      <c r="L458"/>
      <c r="M458"/>
      <c r="N458"/>
      <c r="O458"/>
      <c r="P458"/>
    </row>
    <row r="459" spans="1:16" ht="12" customHeight="1" x14ac:dyDescent="0.2">
      <c r="A459"/>
      <c r="B459"/>
      <c r="C459"/>
      <c r="H459"/>
      <c r="I459"/>
      <c r="J459"/>
      <c r="K459"/>
      <c r="L459"/>
      <c r="M459"/>
      <c r="N459"/>
      <c r="O459"/>
      <c r="P459"/>
    </row>
    <row r="460" spans="1:16" ht="12" customHeight="1" x14ac:dyDescent="0.2">
      <c r="A460"/>
      <c r="B460"/>
      <c r="C460"/>
      <c r="H460"/>
      <c r="I460"/>
      <c r="J460"/>
      <c r="K460"/>
      <c r="L460"/>
      <c r="M460"/>
      <c r="N460"/>
      <c r="O460"/>
      <c r="P460"/>
    </row>
    <row r="461" spans="1:16" ht="12" customHeight="1" x14ac:dyDescent="0.2">
      <c r="A461"/>
      <c r="B461"/>
      <c r="C461"/>
      <c r="H461"/>
      <c r="I461"/>
      <c r="J461"/>
      <c r="K461"/>
      <c r="L461"/>
      <c r="M461"/>
      <c r="N461"/>
      <c r="O461"/>
      <c r="P461"/>
    </row>
    <row r="462" spans="1:16" ht="12" customHeight="1" x14ac:dyDescent="0.2">
      <c r="A462"/>
      <c r="B462"/>
      <c r="C462"/>
      <c r="H462"/>
      <c r="I462"/>
      <c r="J462"/>
      <c r="K462"/>
      <c r="L462"/>
      <c r="M462"/>
      <c r="N462"/>
      <c r="O462"/>
      <c r="P462"/>
    </row>
    <row r="463" spans="1:16" ht="12" customHeight="1" x14ac:dyDescent="0.2">
      <c r="A463"/>
      <c r="B463"/>
      <c r="C463"/>
      <c r="H463"/>
      <c r="I463"/>
      <c r="J463"/>
      <c r="K463"/>
      <c r="L463"/>
      <c r="M463"/>
      <c r="N463"/>
      <c r="O463"/>
      <c r="P463"/>
    </row>
    <row r="464" spans="1:16" x14ac:dyDescent="0.2">
      <c r="A464"/>
      <c r="B464"/>
      <c r="C464"/>
      <c r="H464"/>
      <c r="I464"/>
      <c r="J464"/>
      <c r="K464"/>
      <c r="L464"/>
      <c r="M464"/>
      <c r="N464"/>
      <c r="O464"/>
      <c r="P464"/>
    </row>
    <row r="465" spans="1:16" x14ac:dyDescent="0.2">
      <c r="A465"/>
      <c r="B465"/>
      <c r="C465"/>
      <c r="H465"/>
      <c r="I465"/>
      <c r="J465"/>
      <c r="K465"/>
      <c r="L465"/>
      <c r="M465"/>
      <c r="N465"/>
      <c r="O465"/>
      <c r="P465"/>
    </row>
    <row r="466" spans="1:16" ht="12" customHeight="1" x14ac:dyDescent="0.2">
      <c r="A466"/>
      <c r="B466"/>
      <c r="C466"/>
      <c r="H466"/>
      <c r="I466"/>
      <c r="J466"/>
      <c r="K466"/>
      <c r="L466"/>
      <c r="M466"/>
      <c r="N466"/>
      <c r="O466"/>
      <c r="P466"/>
    </row>
    <row r="467" spans="1:16" ht="12" customHeight="1" x14ac:dyDescent="0.2">
      <c r="A467"/>
      <c r="B467"/>
      <c r="C467"/>
      <c r="H467"/>
      <c r="I467"/>
      <c r="J467"/>
      <c r="K467"/>
      <c r="L467"/>
      <c r="M467"/>
      <c r="N467"/>
      <c r="O467"/>
      <c r="P467"/>
    </row>
    <row r="468" spans="1:16" ht="12" customHeight="1" x14ac:dyDescent="0.2">
      <c r="A468"/>
      <c r="B468"/>
      <c r="C468"/>
      <c r="H468"/>
      <c r="I468"/>
      <c r="J468"/>
      <c r="K468"/>
      <c r="L468"/>
      <c r="M468"/>
      <c r="N468"/>
      <c r="O468"/>
      <c r="P468"/>
    </row>
    <row r="469" spans="1:16" ht="12" customHeight="1" x14ac:dyDescent="0.2">
      <c r="A469"/>
      <c r="B469"/>
      <c r="C469"/>
      <c r="H469"/>
      <c r="I469"/>
      <c r="J469"/>
      <c r="K469"/>
      <c r="L469"/>
      <c r="M469"/>
      <c r="N469"/>
      <c r="O469"/>
      <c r="P469"/>
    </row>
    <row r="470" spans="1:16" ht="12" customHeight="1" x14ac:dyDescent="0.2">
      <c r="A470"/>
      <c r="B470"/>
      <c r="C470"/>
      <c r="H470"/>
      <c r="I470"/>
      <c r="J470"/>
      <c r="K470"/>
      <c r="L470"/>
      <c r="M470"/>
      <c r="N470"/>
      <c r="O470"/>
      <c r="P470"/>
    </row>
    <row r="471" spans="1:16" ht="12" customHeight="1" x14ac:dyDescent="0.2">
      <c r="A471"/>
      <c r="B471"/>
      <c r="C471"/>
      <c r="H471"/>
      <c r="I471"/>
      <c r="J471"/>
      <c r="K471"/>
      <c r="L471"/>
      <c r="M471"/>
      <c r="N471"/>
      <c r="O471"/>
      <c r="P471"/>
    </row>
    <row r="472" spans="1:16" ht="12" customHeight="1" x14ac:dyDescent="0.2">
      <c r="A472"/>
      <c r="B472"/>
      <c r="C472"/>
      <c r="H472"/>
      <c r="I472"/>
      <c r="J472"/>
      <c r="K472"/>
      <c r="L472"/>
      <c r="M472"/>
      <c r="N472"/>
      <c r="O472"/>
      <c r="P472"/>
    </row>
    <row r="473" spans="1:16" x14ac:dyDescent="0.2">
      <c r="A473"/>
      <c r="B473"/>
      <c r="C473"/>
      <c r="H473"/>
      <c r="I473"/>
      <c r="J473"/>
      <c r="K473"/>
      <c r="L473"/>
      <c r="M473"/>
      <c r="N473"/>
      <c r="O473"/>
      <c r="P473"/>
    </row>
    <row r="474" spans="1:16" ht="12" customHeight="1" x14ac:dyDescent="0.2">
      <c r="A474"/>
      <c r="B474"/>
      <c r="C474"/>
      <c r="H474"/>
      <c r="I474"/>
      <c r="J474"/>
      <c r="K474"/>
      <c r="L474"/>
      <c r="M474"/>
      <c r="N474"/>
      <c r="O474"/>
      <c r="P474"/>
    </row>
    <row r="475" spans="1:16" ht="12" customHeight="1" x14ac:dyDescent="0.2">
      <c r="A475"/>
      <c r="B475"/>
      <c r="C475"/>
      <c r="H475"/>
      <c r="I475"/>
      <c r="J475"/>
      <c r="K475"/>
      <c r="L475"/>
      <c r="M475"/>
      <c r="N475"/>
      <c r="O475"/>
      <c r="P475"/>
    </row>
    <row r="476" spans="1:16" ht="12" customHeight="1" x14ac:dyDescent="0.2">
      <c r="A476"/>
      <c r="B476"/>
      <c r="C476"/>
      <c r="H476"/>
      <c r="I476"/>
      <c r="J476"/>
      <c r="K476"/>
      <c r="L476"/>
      <c r="M476"/>
      <c r="N476"/>
      <c r="O476"/>
      <c r="P476"/>
    </row>
    <row r="477" spans="1:16" ht="12" customHeight="1" x14ac:dyDescent="0.2">
      <c r="A477"/>
      <c r="B477"/>
      <c r="C477"/>
      <c r="H477"/>
      <c r="I477"/>
      <c r="J477"/>
      <c r="K477"/>
      <c r="L477"/>
      <c r="M477"/>
      <c r="N477"/>
      <c r="O477"/>
      <c r="P477"/>
    </row>
    <row r="478" spans="1:16" ht="12" customHeight="1" x14ac:dyDescent="0.2">
      <c r="A478"/>
      <c r="B478"/>
      <c r="C478"/>
      <c r="H478"/>
      <c r="I478"/>
      <c r="J478"/>
      <c r="K478"/>
      <c r="L478"/>
      <c r="M478"/>
      <c r="N478"/>
      <c r="O478"/>
      <c r="P478"/>
    </row>
    <row r="479" spans="1:16" ht="12" customHeight="1" x14ac:dyDescent="0.2">
      <c r="A479"/>
      <c r="B479"/>
      <c r="C479"/>
      <c r="H479"/>
      <c r="I479"/>
      <c r="J479"/>
      <c r="K479"/>
      <c r="L479"/>
      <c r="M479"/>
      <c r="N479"/>
      <c r="O479"/>
      <c r="P479"/>
    </row>
    <row r="480" spans="1:16" ht="12" customHeight="1" x14ac:dyDescent="0.2">
      <c r="A480"/>
      <c r="B480"/>
      <c r="C480"/>
      <c r="H480"/>
      <c r="I480"/>
      <c r="J480"/>
      <c r="K480"/>
      <c r="L480"/>
      <c r="M480"/>
      <c r="N480"/>
      <c r="O480"/>
      <c r="P480"/>
    </row>
    <row r="481" spans="1:16" x14ac:dyDescent="0.2">
      <c r="A481"/>
      <c r="B481"/>
      <c r="C481"/>
      <c r="H481"/>
      <c r="I481"/>
      <c r="J481"/>
      <c r="K481"/>
      <c r="L481"/>
      <c r="M481"/>
      <c r="N481"/>
      <c r="O481"/>
      <c r="P481"/>
    </row>
    <row r="482" spans="1:16" ht="12" customHeight="1" x14ac:dyDescent="0.2">
      <c r="A482"/>
      <c r="B482"/>
      <c r="C482"/>
      <c r="H482"/>
      <c r="I482"/>
      <c r="J482"/>
      <c r="K482"/>
      <c r="L482"/>
      <c r="M482"/>
      <c r="N482"/>
      <c r="O482"/>
      <c r="P482"/>
    </row>
    <row r="483" spans="1:16" ht="12" customHeight="1" x14ac:dyDescent="0.2">
      <c r="A483"/>
      <c r="B483"/>
      <c r="C483"/>
      <c r="H483"/>
      <c r="I483"/>
      <c r="J483"/>
      <c r="K483"/>
      <c r="L483"/>
      <c r="M483"/>
      <c r="N483"/>
      <c r="O483"/>
      <c r="P483"/>
    </row>
    <row r="484" spans="1:16" ht="12" customHeight="1" x14ac:dyDescent="0.2">
      <c r="A484"/>
      <c r="B484"/>
      <c r="C484"/>
      <c r="H484"/>
      <c r="I484"/>
      <c r="J484"/>
      <c r="K484"/>
      <c r="L484"/>
      <c r="M484"/>
      <c r="N484"/>
      <c r="O484"/>
      <c r="P484"/>
    </row>
    <row r="485" spans="1:16" ht="12" customHeight="1" x14ac:dyDescent="0.2">
      <c r="A485"/>
      <c r="B485"/>
      <c r="C485"/>
      <c r="H485"/>
      <c r="I485"/>
      <c r="J485"/>
      <c r="K485"/>
      <c r="L485"/>
      <c r="M485"/>
      <c r="N485"/>
      <c r="O485"/>
      <c r="P485"/>
    </row>
    <row r="486" spans="1:16" ht="12" customHeight="1" x14ac:dyDescent="0.2">
      <c r="A486"/>
      <c r="B486"/>
      <c r="C486"/>
      <c r="H486"/>
      <c r="I486"/>
      <c r="J486"/>
      <c r="K486"/>
      <c r="L486"/>
      <c r="M486"/>
      <c r="N486"/>
      <c r="O486"/>
      <c r="P486"/>
    </row>
    <row r="487" spans="1:16" ht="12" customHeight="1" x14ac:dyDescent="0.2">
      <c r="A487"/>
      <c r="B487"/>
      <c r="C487"/>
      <c r="H487"/>
      <c r="I487"/>
      <c r="J487"/>
      <c r="K487"/>
      <c r="L487"/>
      <c r="M487"/>
      <c r="N487"/>
      <c r="O487"/>
      <c r="P487"/>
    </row>
    <row r="488" spans="1:16" ht="12" customHeight="1" x14ac:dyDescent="0.2">
      <c r="A488"/>
      <c r="B488"/>
      <c r="C488"/>
      <c r="H488"/>
      <c r="I488"/>
      <c r="J488"/>
      <c r="K488"/>
      <c r="L488"/>
      <c r="M488"/>
      <c r="N488"/>
      <c r="O488"/>
      <c r="P488"/>
    </row>
    <row r="489" spans="1:16" x14ac:dyDescent="0.2">
      <c r="A489"/>
      <c r="B489"/>
      <c r="C489"/>
      <c r="H489"/>
      <c r="I489"/>
      <c r="J489"/>
      <c r="K489"/>
      <c r="L489"/>
      <c r="M489"/>
      <c r="N489"/>
      <c r="O489"/>
      <c r="P489"/>
    </row>
    <row r="490" spans="1:16" ht="12" customHeight="1" x14ac:dyDescent="0.2">
      <c r="A490"/>
      <c r="B490"/>
      <c r="C490"/>
      <c r="H490"/>
      <c r="I490"/>
      <c r="J490"/>
      <c r="K490"/>
      <c r="L490"/>
      <c r="M490"/>
      <c r="N490"/>
      <c r="O490"/>
      <c r="P490"/>
    </row>
    <row r="491" spans="1:16" ht="12" customHeight="1" x14ac:dyDescent="0.2">
      <c r="A491"/>
      <c r="B491"/>
      <c r="C491"/>
      <c r="H491"/>
      <c r="I491"/>
      <c r="J491"/>
      <c r="K491"/>
      <c r="L491"/>
      <c r="M491"/>
      <c r="N491"/>
      <c r="O491"/>
      <c r="P491"/>
    </row>
    <row r="492" spans="1:16" ht="12" customHeight="1" x14ac:dyDescent="0.2">
      <c r="A492"/>
      <c r="B492"/>
      <c r="C492"/>
      <c r="H492"/>
      <c r="I492"/>
      <c r="J492"/>
      <c r="K492"/>
      <c r="L492"/>
      <c r="M492"/>
      <c r="N492"/>
      <c r="O492"/>
      <c r="P492"/>
    </row>
    <row r="493" spans="1:16" ht="12" customHeight="1" x14ac:dyDescent="0.2">
      <c r="A493"/>
      <c r="B493"/>
      <c r="C493"/>
      <c r="H493"/>
      <c r="I493"/>
      <c r="J493"/>
      <c r="K493"/>
      <c r="L493"/>
      <c r="M493"/>
      <c r="N493"/>
      <c r="O493"/>
      <c r="P493"/>
    </row>
    <row r="494" spans="1:16" ht="12" customHeight="1" x14ac:dyDescent="0.2">
      <c r="A494"/>
      <c r="B494"/>
      <c r="C494"/>
      <c r="H494"/>
      <c r="I494"/>
      <c r="J494"/>
      <c r="K494"/>
      <c r="L494"/>
      <c r="M494"/>
      <c r="N494"/>
      <c r="O494"/>
      <c r="P494"/>
    </row>
    <row r="495" spans="1:16" ht="12" customHeight="1" x14ac:dyDescent="0.2">
      <c r="A495"/>
      <c r="B495"/>
      <c r="C495"/>
      <c r="H495"/>
      <c r="I495"/>
      <c r="J495"/>
      <c r="K495"/>
      <c r="L495"/>
      <c r="M495"/>
      <c r="N495"/>
      <c r="O495"/>
      <c r="P495"/>
    </row>
    <row r="496" spans="1:16" ht="12" customHeight="1" x14ac:dyDescent="0.2">
      <c r="A496"/>
      <c r="B496"/>
      <c r="C496"/>
      <c r="H496"/>
      <c r="I496"/>
      <c r="J496"/>
      <c r="K496"/>
      <c r="L496"/>
      <c r="M496"/>
      <c r="N496"/>
      <c r="O496"/>
      <c r="P496"/>
    </row>
    <row r="497" spans="1:16" x14ac:dyDescent="0.2">
      <c r="A497"/>
      <c r="B497"/>
      <c r="C497"/>
      <c r="H497"/>
      <c r="I497"/>
      <c r="J497"/>
      <c r="K497"/>
      <c r="L497"/>
      <c r="M497"/>
      <c r="N497"/>
      <c r="O497"/>
      <c r="P497"/>
    </row>
    <row r="498" spans="1:16" ht="12" customHeight="1" x14ac:dyDescent="0.2">
      <c r="A498"/>
      <c r="B498"/>
      <c r="C498"/>
      <c r="H498"/>
      <c r="I498"/>
      <c r="J498"/>
      <c r="K498"/>
      <c r="L498"/>
      <c r="M498"/>
      <c r="N498"/>
      <c r="O498"/>
      <c r="P498"/>
    </row>
    <row r="499" spans="1:16" ht="12" customHeight="1" x14ac:dyDescent="0.2">
      <c r="A499"/>
      <c r="B499"/>
      <c r="C499"/>
      <c r="H499"/>
      <c r="I499"/>
      <c r="J499"/>
      <c r="K499"/>
      <c r="L499"/>
      <c r="M499"/>
      <c r="N499"/>
      <c r="O499"/>
      <c r="P499"/>
    </row>
    <row r="500" spans="1:16" ht="12" customHeight="1" x14ac:dyDescent="0.2">
      <c r="A500"/>
      <c r="B500"/>
      <c r="C500"/>
      <c r="H500"/>
      <c r="I500"/>
      <c r="J500"/>
      <c r="K500"/>
      <c r="L500"/>
      <c r="M500"/>
      <c r="N500"/>
      <c r="O500"/>
      <c r="P500"/>
    </row>
    <row r="501" spans="1:16" ht="12" customHeight="1" x14ac:dyDescent="0.2">
      <c r="A501"/>
      <c r="B501"/>
      <c r="C501"/>
      <c r="H501"/>
      <c r="I501"/>
      <c r="J501"/>
      <c r="K501"/>
      <c r="L501"/>
      <c r="M501"/>
      <c r="N501"/>
      <c r="O501"/>
      <c r="P501"/>
    </row>
    <row r="502" spans="1:16" ht="12" customHeight="1" x14ac:dyDescent="0.2">
      <c r="A502"/>
      <c r="B502"/>
      <c r="C502"/>
      <c r="H502"/>
      <c r="I502"/>
      <c r="J502"/>
      <c r="K502"/>
      <c r="L502"/>
      <c r="M502"/>
      <c r="N502"/>
      <c r="O502"/>
      <c r="P502"/>
    </row>
    <row r="503" spans="1:16" ht="12" customHeight="1" x14ac:dyDescent="0.2">
      <c r="A503"/>
      <c r="B503"/>
      <c r="C503"/>
      <c r="H503"/>
      <c r="I503"/>
      <c r="J503"/>
      <c r="K503"/>
      <c r="L503"/>
      <c r="M503"/>
      <c r="N503"/>
      <c r="O503"/>
      <c r="P503"/>
    </row>
    <row r="504" spans="1:16" x14ac:dyDescent="0.2">
      <c r="A504"/>
      <c r="B504"/>
      <c r="C504"/>
      <c r="H504"/>
      <c r="I504"/>
      <c r="J504"/>
      <c r="K504"/>
      <c r="L504"/>
      <c r="M504"/>
      <c r="N504"/>
      <c r="O504"/>
      <c r="P504"/>
    </row>
    <row r="505" spans="1:16" ht="12" customHeight="1" x14ac:dyDescent="0.2">
      <c r="A505"/>
      <c r="B505"/>
      <c r="C505"/>
      <c r="H505"/>
      <c r="I505"/>
      <c r="J505"/>
      <c r="K505"/>
      <c r="L505"/>
      <c r="M505"/>
      <c r="N505"/>
      <c r="O505"/>
      <c r="P505"/>
    </row>
    <row r="506" spans="1:16" ht="12" customHeight="1" x14ac:dyDescent="0.2">
      <c r="A506"/>
      <c r="B506"/>
      <c r="C506"/>
      <c r="H506"/>
      <c r="I506"/>
      <c r="J506"/>
      <c r="K506"/>
      <c r="L506"/>
      <c r="M506"/>
      <c r="N506"/>
      <c r="O506"/>
      <c r="P506"/>
    </row>
    <row r="507" spans="1:16" ht="12" customHeight="1" x14ac:dyDescent="0.2">
      <c r="A507"/>
      <c r="B507"/>
      <c r="C507"/>
      <c r="H507"/>
      <c r="I507"/>
      <c r="J507"/>
      <c r="K507"/>
      <c r="L507"/>
      <c r="M507"/>
      <c r="N507"/>
      <c r="O507"/>
      <c r="P507"/>
    </row>
    <row r="508" spans="1:16" ht="12" customHeight="1" x14ac:dyDescent="0.2">
      <c r="A508"/>
      <c r="B508"/>
      <c r="C508"/>
      <c r="H508"/>
      <c r="I508"/>
      <c r="J508"/>
      <c r="K508"/>
      <c r="L508"/>
      <c r="M508"/>
      <c r="N508"/>
      <c r="O508"/>
      <c r="P508"/>
    </row>
    <row r="509" spans="1:16" ht="12" customHeight="1" x14ac:dyDescent="0.2">
      <c r="A509"/>
      <c r="B509"/>
      <c r="C509"/>
      <c r="H509"/>
      <c r="I509"/>
      <c r="J509"/>
      <c r="K509"/>
      <c r="L509"/>
      <c r="M509"/>
      <c r="N509"/>
      <c r="O509"/>
      <c r="P509"/>
    </row>
    <row r="510" spans="1:16" ht="12" customHeight="1" x14ac:dyDescent="0.2">
      <c r="A510"/>
      <c r="B510"/>
      <c r="C510"/>
      <c r="H510"/>
      <c r="I510"/>
      <c r="J510"/>
      <c r="K510"/>
      <c r="L510"/>
      <c r="M510"/>
      <c r="N510"/>
      <c r="O510"/>
      <c r="P510"/>
    </row>
    <row r="511" spans="1:16" ht="12" customHeight="1" x14ac:dyDescent="0.2">
      <c r="A511"/>
      <c r="B511"/>
      <c r="C511"/>
      <c r="H511"/>
      <c r="I511"/>
      <c r="J511"/>
      <c r="K511"/>
      <c r="L511"/>
      <c r="M511"/>
      <c r="N511"/>
      <c r="O511"/>
      <c r="P511"/>
    </row>
    <row r="512" spans="1:16" x14ac:dyDescent="0.2">
      <c r="A512"/>
      <c r="B512"/>
      <c r="C512"/>
      <c r="H512"/>
      <c r="I512"/>
      <c r="J512"/>
      <c r="K512"/>
      <c r="L512"/>
      <c r="M512"/>
      <c r="N512"/>
      <c r="O512"/>
      <c r="P512"/>
    </row>
    <row r="513" spans="1:16" ht="12" customHeight="1" x14ac:dyDescent="0.2">
      <c r="A513"/>
      <c r="B513"/>
      <c r="C513"/>
      <c r="H513"/>
      <c r="I513"/>
      <c r="J513"/>
      <c r="K513"/>
      <c r="L513"/>
      <c r="M513"/>
      <c r="N513"/>
      <c r="O513"/>
      <c r="P513"/>
    </row>
    <row r="514" spans="1:16" ht="12" customHeight="1" x14ac:dyDescent="0.2">
      <c r="A514"/>
      <c r="B514"/>
      <c r="C514"/>
      <c r="H514"/>
      <c r="I514"/>
      <c r="J514"/>
      <c r="K514"/>
      <c r="L514"/>
      <c r="M514"/>
      <c r="N514"/>
      <c r="O514"/>
      <c r="P514"/>
    </row>
    <row r="515" spans="1:16" ht="12" customHeight="1" x14ac:dyDescent="0.2">
      <c r="A515"/>
      <c r="B515"/>
      <c r="C515"/>
      <c r="H515"/>
      <c r="I515"/>
      <c r="J515"/>
      <c r="K515"/>
      <c r="L515"/>
      <c r="M515"/>
      <c r="N515"/>
      <c r="O515"/>
      <c r="P515"/>
    </row>
    <row r="516" spans="1:16" ht="12" customHeight="1" x14ac:dyDescent="0.2">
      <c r="A516"/>
      <c r="B516"/>
      <c r="C516"/>
      <c r="H516"/>
      <c r="I516"/>
      <c r="J516"/>
      <c r="K516"/>
      <c r="L516"/>
      <c r="M516"/>
      <c r="N516"/>
      <c r="O516"/>
      <c r="P516"/>
    </row>
    <row r="517" spans="1:16" ht="12" customHeight="1" x14ac:dyDescent="0.2">
      <c r="A517"/>
      <c r="B517"/>
      <c r="C517"/>
      <c r="H517"/>
      <c r="I517"/>
      <c r="J517"/>
      <c r="K517"/>
      <c r="L517"/>
      <c r="M517"/>
      <c r="N517"/>
      <c r="O517"/>
      <c r="P517"/>
    </row>
    <row r="518" spans="1:16" ht="12" customHeight="1" x14ac:dyDescent="0.2">
      <c r="A518"/>
      <c r="B518"/>
      <c r="C518"/>
      <c r="H518"/>
      <c r="I518"/>
      <c r="J518"/>
      <c r="K518"/>
      <c r="L518"/>
      <c r="M518"/>
      <c r="N518"/>
      <c r="O518"/>
      <c r="P518"/>
    </row>
    <row r="519" spans="1:16" ht="12" customHeight="1" x14ac:dyDescent="0.2">
      <c r="A519"/>
      <c r="B519"/>
      <c r="C519"/>
      <c r="H519"/>
      <c r="I519"/>
      <c r="J519"/>
      <c r="K519"/>
      <c r="L519"/>
      <c r="M519"/>
      <c r="N519"/>
      <c r="O519"/>
      <c r="P519"/>
    </row>
    <row r="520" spans="1:16" x14ac:dyDescent="0.2">
      <c r="A520"/>
      <c r="B520"/>
      <c r="C520"/>
      <c r="H520"/>
      <c r="I520"/>
      <c r="J520"/>
      <c r="K520"/>
      <c r="L520"/>
      <c r="M520"/>
      <c r="N520"/>
      <c r="O520"/>
      <c r="P520"/>
    </row>
    <row r="521" spans="1:16" ht="12" customHeight="1" x14ac:dyDescent="0.2">
      <c r="A521"/>
      <c r="B521"/>
      <c r="C521"/>
      <c r="H521"/>
      <c r="I521"/>
      <c r="J521"/>
      <c r="K521"/>
      <c r="L521"/>
      <c r="M521"/>
      <c r="N521"/>
      <c r="O521"/>
      <c r="P521"/>
    </row>
    <row r="522" spans="1:16" ht="12" customHeight="1" x14ac:dyDescent="0.2">
      <c r="A522"/>
      <c r="B522"/>
      <c r="C522"/>
      <c r="H522"/>
      <c r="I522"/>
      <c r="J522"/>
      <c r="K522"/>
      <c r="L522"/>
      <c r="M522"/>
      <c r="N522"/>
      <c r="O522"/>
      <c r="P522"/>
    </row>
    <row r="523" spans="1:16" ht="12" customHeight="1" x14ac:dyDescent="0.2">
      <c r="A523"/>
      <c r="B523"/>
      <c r="C523"/>
      <c r="H523"/>
      <c r="I523"/>
      <c r="J523"/>
      <c r="K523"/>
      <c r="L523"/>
      <c r="M523"/>
      <c r="N523"/>
      <c r="O523"/>
      <c r="P523"/>
    </row>
    <row r="524" spans="1:16" ht="12" customHeight="1" x14ac:dyDescent="0.2">
      <c r="A524"/>
      <c r="B524"/>
      <c r="C524"/>
      <c r="H524"/>
      <c r="I524"/>
      <c r="J524"/>
      <c r="K524"/>
      <c r="L524"/>
      <c r="M524"/>
      <c r="N524"/>
      <c r="O524"/>
      <c r="P524"/>
    </row>
    <row r="525" spans="1:16" ht="12" customHeight="1" x14ac:dyDescent="0.2">
      <c r="A525"/>
      <c r="B525"/>
      <c r="C525"/>
      <c r="H525"/>
      <c r="I525"/>
      <c r="J525"/>
      <c r="K525"/>
      <c r="L525"/>
      <c r="M525"/>
      <c r="N525"/>
      <c r="O525"/>
      <c r="P525"/>
    </row>
    <row r="526" spans="1:16" ht="12" customHeight="1" x14ac:dyDescent="0.2">
      <c r="A526"/>
      <c r="B526"/>
      <c r="C526"/>
      <c r="H526"/>
      <c r="I526"/>
      <c r="J526"/>
      <c r="K526"/>
      <c r="L526"/>
      <c r="M526"/>
      <c r="N526"/>
      <c r="O526"/>
      <c r="P526"/>
    </row>
    <row r="527" spans="1:16" ht="12" customHeight="1" x14ac:dyDescent="0.2">
      <c r="A527"/>
      <c r="B527"/>
      <c r="C527"/>
      <c r="H527"/>
      <c r="I527"/>
      <c r="J527"/>
      <c r="K527"/>
      <c r="L527"/>
      <c r="M527"/>
      <c r="N527"/>
      <c r="O527"/>
      <c r="P527"/>
    </row>
    <row r="528" spans="1:16" x14ac:dyDescent="0.2">
      <c r="A528"/>
      <c r="B528"/>
      <c r="C528"/>
      <c r="H528"/>
      <c r="I528"/>
      <c r="J528"/>
      <c r="K528"/>
      <c r="L528"/>
      <c r="M528"/>
      <c r="N528"/>
      <c r="O528"/>
      <c r="P528"/>
    </row>
    <row r="529" spans="1:16" ht="12" customHeight="1" x14ac:dyDescent="0.2">
      <c r="A529"/>
      <c r="B529"/>
      <c r="C529"/>
      <c r="H529"/>
      <c r="I529"/>
      <c r="J529"/>
      <c r="K529"/>
      <c r="L529"/>
      <c r="M529"/>
      <c r="N529"/>
      <c r="O529"/>
      <c r="P529"/>
    </row>
    <row r="530" spans="1:16" ht="12" customHeight="1" x14ac:dyDescent="0.2">
      <c r="A530"/>
      <c r="B530"/>
      <c r="C530"/>
      <c r="H530"/>
      <c r="I530"/>
      <c r="J530"/>
      <c r="K530"/>
      <c r="L530"/>
      <c r="M530"/>
      <c r="N530"/>
      <c r="O530"/>
      <c r="P530"/>
    </row>
    <row r="531" spans="1:16" ht="12" customHeight="1" x14ac:dyDescent="0.2">
      <c r="A531"/>
      <c r="B531"/>
      <c r="C531"/>
      <c r="H531"/>
      <c r="I531"/>
      <c r="J531"/>
      <c r="K531"/>
      <c r="L531"/>
      <c r="M531"/>
      <c r="N531"/>
      <c r="O531"/>
      <c r="P531"/>
    </row>
    <row r="532" spans="1:16" x14ac:dyDescent="0.2">
      <c r="A532"/>
      <c r="B532"/>
      <c r="C532"/>
      <c r="H532"/>
      <c r="I532"/>
      <c r="J532"/>
      <c r="K532"/>
      <c r="L532"/>
      <c r="M532"/>
      <c r="N532"/>
      <c r="O532"/>
      <c r="P532"/>
    </row>
    <row r="533" spans="1:16" ht="12.75" customHeight="1" x14ac:dyDescent="0.2">
      <c r="A533"/>
      <c r="B533"/>
      <c r="C533"/>
      <c r="H533"/>
      <c r="I533"/>
      <c r="J533"/>
      <c r="K533"/>
      <c r="L533"/>
      <c r="M533"/>
      <c r="N533"/>
      <c r="O533"/>
      <c r="P533"/>
    </row>
    <row r="534" spans="1:16" x14ac:dyDescent="0.2">
      <c r="A534"/>
      <c r="B534"/>
      <c r="C534"/>
      <c r="H534"/>
      <c r="I534"/>
      <c r="J534"/>
      <c r="K534"/>
      <c r="L534"/>
      <c r="M534"/>
      <c r="N534"/>
      <c r="O534"/>
      <c r="P534"/>
    </row>
    <row r="535" spans="1:16" ht="12" customHeight="1" x14ac:dyDescent="0.2">
      <c r="A535"/>
      <c r="B535"/>
      <c r="C535"/>
      <c r="H535"/>
      <c r="I535"/>
      <c r="J535"/>
      <c r="K535"/>
      <c r="L535"/>
      <c r="M535"/>
      <c r="N535"/>
      <c r="O535"/>
      <c r="P535"/>
    </row>
    <row r="536" spans="1:16" ht="12" customHeight="1" x14ac:dyDescent="0.2">
      <c r="A536"/>
      <c r="B536"/>
      <c r="C536"/>
      <c r="H536"/>
      <c r="I536"/>
      <c r="J536"/>
      <c r="K536"/>
      <c r="L536"/>
      <c r="M536"/>
      <c r="N536"/>
      <c r="O536"/>
      <c r="P536"/>
    </row>
    <row r="537" spans="1:16" ht="12" customHeight="1" x14ac:dyDescent="0.2">
      <c r="A537"/>
      <c r="B537"/>
      <c r="C537"/>
      <c r="H537"/>
      <c r="I537"/>
      <c r="J537"/>
      <c r="K537"/>
      <c r="L537"/>
      <c r="M537"/>
      <c r="N537"/>
      <c r="O537"/>
      <c r="P537"/>
    </row>
    <row r="538" spans="1:16" ht="12" customHeight="1" x14ac:dyDescent="0.2">
      <c r="A538"/>
      <c r="B538"/>
      <c r="C538"/>
      <c r="H538"/>
      <c r="I538"/>
      <c r="J538"/>
      <c r="K538"/>
      <c r="L538"/>
      <c r="M538"/>
      <c r="N538"/>
      <c r="O538"/>
      <c r="P538"/>
    </row>
    <row r="539" spans="1:16" ht="12" customHeight="1" x14ac:dyDescent="0.2">
      <c r="A539"/>
      <c r="B539"/>
      <c r="C539"/>
      <c r="H539"/>
      <c r="I539"/>
      <c r="J539"/>
      <c r="K539"/>
      <c r="L539"/>
      <c r="M539"/>
      <c r="N539"/>
      <c r="O539"/>
      <c r="P539"/>
    </row>
    <row r="540" spans="1:16" ht="12" customHeight="1" x14ac:dyDescent="0.2">
      <c r="A540"/>
      <c r="B540"/>
      <c r="C540"/>
      <c r="H540"/>
      <c r="I540"/>
      <c r="J540"/>
      <c r="K540"/>
      <c r="L540"/>
      <c r="M540"/>
      <c r="N540"/>
      <c r="O540"/>
      <c r="P540"/>
    </row>
    <row r="541" spans="1:16" ht="12" customHeight="1" x14ac:dyDescent="0.2">
      <c r="A541"/>
      <c r="B541"/>
      <c r="C541"/>
      <c r="H541"/>
      <c r="I541"/>
      <c r="J541"/>
      <c r="K541"/>
      <c r="L541"/>
      <c r="M541"/>
      <c r="N541"/>
      <c r="O541"/>
      <c r="P541"/>
    </row>
    <row r="542" spans="1:16" ht="12" customHeight="1" x14ac:dyDescent="0.2">
      <c r="A542"/>
      <c r="B542"/>
      <c r="C542"/>
      <c r="H542"/>
      <c r="I542"/>
      <c r="J542"/>
      <c r="K542"/>
      <c r="L542"/>
      <c r="M542"/>
      <c r="N542"/>
      <c r="O542"/>
      <c r="P542"/>
    </row>
    <row r="543" spans="1:16" ht="12" customHeight="1" x14ac:dyDescent="0.2">
      <c r="A543"/>
      <c r="B543"/>
      <c r="C543"/>
      <c r="H543"/>
      <c r="I543"/>
      <c r="J543"/>
      <c r="K543"/>
      <c r="L543"/>
      <c r="M543"/>
      <c r="N543"/>
      <c r="O543"/>
      <c r="P543"/>
    </row>
    <row r="544" spans="1:16" ht="12" customHeight="1" x14ac:dyDescent="0.2">
      <c r="A544"/>
      <c r="B544"/>
      <c r="C544"/>
      <c r="H544"/>
      <c r="I544"/>
      <c r="J544"/>
      <c r="K544"/>
      <c r="L544"/>
      <c r="M544"/>
      <c r="N544"/>
      <c r="O544"/>
      <c r="P544"/>
    </row>
    <row r="545" spans="1:16" x14ac:dyDescent="0.2">
      <c r="A545"/>
      <c r="B545"/>
      <c r="C545"/>
      <c r="H545"/>
      <c r="I545"/>
      <c r="J545"/>
      <c r="K545"/>
      <c r="L545"/>
      <c r="M545"/>
      <c r="N545"/>
      <c r="O545"/>
      <c r="P545"/>
    </row>
    <row r="546" spans="1:16" ht="12" customHeight="1" x14ac:dyDescent="0.2">
      <c r="A546"/>
      <c r="B546"/>
      <c r="C546"/>
      <c r="H546"/>
      <c r="I546"/>
      <c r="J546"/>
      <c r="K546"/>
      <c r="L546"/>
      <c r="M546"/>
      <c r="N546"/>
      <c r="O546"/>
      <c r="P546"/>
    </row>
    <row r="547" spans="1:16" ht="12" customHeight="1" x14ac:dyDescent="0.2">
      <c r="A547"/>
      <c r="B547"/>
      <c r="C547"/>
      <c r="H547"/>
      <c r="I547"/>
      <c r="J547"/>
      <c r="K547"/>
      <c r="L547"/>
      <c r="M547"/>
      <c r="N547"/>
      <c r="O547"/>
      <c r="P547"/>
    </row>
    <row r="548" spans="1:16" ht="12" customHeight="1" x14ac:dyDescent="0.2">
      <c r="A548"/>
      <c r="B548"/>
      <c r="C548"/>
      <c r="H548"/>
      <c r="I548"/>
      <c r="J548"/>
      <c r="K548"/>
      <c r="L548"/>
      <c r="M548"/>
      <c r="N548"/>
      <c r="O548"/>
      <c r="P548"/>
    </row>
    <row r="549" spans="1:16" ht="12" customHeight="1" x14ac:dyDescent="0.2">
      <c r="A549"/>
      <c r="B549"/>
      <c r="C549"/>
      <c r="H549"/>
      <c r="I549"/>
      <c r="J549"/>
      <c r="K549"/>
      <c r="L549"/>
      <c r="M549"/>
      <c r="N549"/>
      <c r="O549"/>
      <c r="P549"/>
    </row>
    <row r="550" spans="1:16" ht="12" customHeight="1" x14ac:dyDescent="0.2">
      <c r="A550"/>
      <c r="B550"/>
      <c r="C550"/>
      <c r="H550"/>
      <c r="I550"/>
      <c r="J550"/>
      <c r="K550"/>
      <c r="L550"/>
      <c r="M550"/>
      <c r="N550"/>
      <c r="O550"/>
      <c r="P550"/>
    </row>
    <row r="551" spans="1:16" ht="12" customHeight="1" x14ac:dyDescent="0.2">
      <c r="A551"/>
      <c r="B551"/>
      <c r="C551"/>
      <c r="H551"/>
      <c r="I551"/>
      <c r="J551"/>
      <c r="K551"/>
      <c r="L551"/>
      <c r="M551"/>
      <c r="N551"/>
      <c r="O551"/>
      <c r="P551"/>
    </row>
    <row r="552" spans="1:16" x14ac:dyDescent="0.2">
      <c r="A552"/>
      <c r="B552"/>
      <c r="C552"/>
      <c r="H552"/>
      <c r="I552"/>
      <c r="J552"/>
      <c r="K552"/>
      <c r="L552"/>
      <c r="M552"/>
      <c r="N552"/>
      <c r="O552"/>
      <c r="P552"/>
    </row>
    <row r="553" spans="1:16" x14ac:dyDescent="0.2">
      <c r="A553"/>
      <c r="B553"/>
      <c r="C553"/>
      <c r="H553"/>
      <c r="I553"/>
      <c r="J553"/>
      <c r="K553"/>
      <c r="L553"/>
      <c r="M553"/>
      <c r="N553"/>
      <c r="O553"/>
      <c r="P553"/>
    </row>
    <row r="554" spans="1:16" x14ac:dyDescent="0.2">
      <c r="A554"/>
      <c r="B554"/>
      <c r="C554"/>
      <c r="H554"/>
      <c r="I554"/>
      <c r="J554"/>
      <c r="K554"/>
      <c r="L554"/>
      <c r="M554"/>
      <c r="N554"/>
      <c r="O554"/>
      <c r="P554"/>
    </row>
    <row r="555" spans="1:16" ht="12" customHeight="1" x14ac:dyDescent="0.2">
      <c r="A555"/>
      <c r="B555"/>
      <c r="C555"/>
      <c r="H555"/>
      <c r="I555"/>
      <c r="J555"/>
      <c r="K555"/>
      <c r="L555"/>
      <c r="M555"/>
      <c r="N555"/>
      <c r="O555"/>
      <c r="P555"/>
    </row>
    <row r="556" spans="1:16" ht="12" customHeight="1" x14ac:dyDescent="0.2">
      <c r="A556"/>
      <c r="B556"/>
      <c r="C556"/>
      <c r="H556"/>
      <c r="I556"/>
      <c r="J556"/>
      <c r="K556"/>
      <c r="L556"/>
      <c r="M556"/>
      <c r="N556"/>
      <c r="O556"/>
      <c r="P556"/>
    </row>
    <row r="557" spans="1:16" ht="12" customHeight="1" x14ac:dyDescent="0.2">
      <c r="A557"/>
      <c r="B557"/>
      <c r="C557"/>
      <c r="H557"/>
      <c r="I557"/>
      <c r="J557"/>
      <c r="K557"/>
      <c r="L557"/>
      <c r="M557"/>
      <c r="N557"/>
      <c r="O557"/>
      <c r="P557"/>
    </row>
    <row r="558" spans="1:16" x14ac:dyDescent="0.2">
      <c r="A558"/>
      <c r="B558"/>
      <c r="C558"/>
      <c r="H558"/>
      <c r="I558"/>
      <c r="J558"/>
      <c r="K558"/>
      <c r="L558"/>
      <c r="M558"/>
      <c r="N558"/>
      <c r="O558"/>
      <c r="P558"/>
    </row>
    <row r="559" spans="1:16" ht="12" customHeight="1" x14ac:dyDescent="0.2">
      <c r="A559"/>
      <c r="B559"/>
      <c r="C559"/>
      <c r="H559"/>
      <c r="I559"/>
      <c r="J559"/>
      <c r="K559"/>
      <c r="L559"/>
      <c r="M559"/>
      <c r="N559"/>
      <c r="O559"/>
      <c r="P559"/>
    </row>
    <row r="560" spans="1:16" x14ac:dyDescent="0.2">
      <c r="A560"/>
      <c r="B560"/>
      <c r="C560"/>
      <c r="H560"/>
      <c r="I560"/>
      <c r="J560"/>
      <c r="K560"/>
      <c r="L560"/>
      <c r="M560"/>
      <c r="N560"/>
      <c r="O560"/>
      <c r="P560"/>
    </row>
    <row r="561" spans="1:16" ht="15" customHeight="1" x14ac:dyDescent="0.2">
      <c r="A561"/>
      <c r="B561"/>
      <c r="C561"/>
      <c r="H561"/>
      <c r="I561"/>
      <c r="J561"/>
      <c r="K561"/>
      <c r="L561"/>
      <c r="M561"/>
      <c r="N561"/>
      <c r="O561"/>
      <c r="P561"/>
    </row>
    <row r="562" spans="1:16" ht="15" customHeight="1" x14ac:dyDescent="0.2">
      <c r="A562"/>
      <c r="B562"/>
      <c r="C562"/>
      <c r="H562"/>
      <c r="I562"/>
      <c r="J562"/>
      <c r="K562"/>
      <c r="L562"/>
      <c r="M562"/>
      <c r="N562"/>
      <c r="O562"/>
      <c r="P562"/>
    </row>
    <row r="563" spans="1:16" x14ac:dyDescent="0.2">
      <c r="A563"/>
      <c r="B563"/>
      <c r="C563"/>
      <c r="H563"/>
      <c r="I563"/>
      <c r="J563"/>
      <c r="K563"/>
      <c r="L563"/>
      <c r="M563"/>
      <c r="N563"/>
      <c r="O563"/>
      <c r="P563"/>
    </row>
    <row r="564" spans="1:16" ht="12" customHeight="1" x14ac:dyDescent="0.2">
      <c r="A564"/>
      <c r="B564"/>
      <c r="C564"/>
      <c r="H564"/>
      <c r="I564"/>
      <c r="J564"/>
      <c r="K564"/>
      <c r="L564"/>
      <c r="M564"/>
      <c r="N564"/>
      <c r="O564"/>
      <c r="P564"/>
    </row>
    <row r="565" spans="1:16" ht="12" customHeight="1" x14ac:dyDescent="0.2">
      <c r="A565"/>
      <c r="B565"/>
      <c r="C565"/>
      <c r="H565"/>
      <c r="I565"/>
      <c r="J565"/>
      <c r="K565"/>
      <c r="L565"/>
      <c r="M565"/>
      <c r="N565"/>
      <c r="O565"/>
      <c r="P565"/>
    </row>
    <row r="566" spans="1:16" ht="12" customHeight="1" x14ac:dyDescent="0.2">
      <c r="A566"/>
      <c r="B566"/>
      <c r="C566"/>
      <c r="H566"/>
      <c r="I566"/>
      <c r="J566"/>
      <c r="K566"/>
      <c r="L566"/>
      <c r="M566"/>
      <c r="N566"/>
      <c r="O566"/>
      <c r="P566"/>
    </row>
    <row r="567" spans="1:16" ht="12" customHeight="1" x14ac:dyDescent="0.2">
      <c r="A567"/>
      <c r="B567"/>
      <c r="C567"/>
      <c r="H567"/>
      <c r="I567"/>
      <c r="J567"/>
      <c r="K567"/>
      <c r="L567"/>
      <c r="M567"/>
      <c r="N567"/>
      <c r="O567"/>
      <c r="P567"/>
    </row>
    <row r="568" spans="1:16" ht="12" customHeight="1" x14ac:dyDescent="0.2">
      <c r="A568"/>
      <c r="B568"/>
      <c r="C568"/>
      <c r="H568"/>
      <c r="I568"/>
      <c r="J568"/>
      <c r="K568"/>
      <c r="L568"/>
      <c r="M568"/>
      <c r="N568"/>
      <c r="O568"/>
      <c r="P568"/>
    </row>
    <row r="569" spans="1:16" x14ac:dyDescent="0.2">
      <c r="A569"/>
      <c r="B569"/>
      <c r="C569"/>
      <c r="H569"/>
      <c r="I569"/>
      <c r="J569"/>
      <c r="K569"/>
      <c r="L569"/>
      <c r="M569"/>
      <c r="N569"/>
      <c r="O569"/>
      <c r="P569"/>
    </row>
    <row r="570" spans="1:16" x14ac:dyDescent="0.2">
      <c r="A570"/>
      <c r="B570"/>
      <c r="C570"/>
      <c r="H570"/>
      <c r="I570"/>
      <c r="J570"/>
      <c r="K570"/>
      <c r="L570"/>
      <c r="M570"/>
      <c r="N570"/>
      <c r="O570"/>
      <c r="P570"/>
    </row>
    <row r="571" spans="1:16" ht="12" customHeight="1" x14ac:dyDescent="0.2">
      <c r="A571"/>
      <c r="B571"/>
      <c r="C571"/>
      <c r="H571"/>
      <c r="I571"/>
      <c r="J571"/>
      <c r="K571"/>
      <c r="L571"/>
      <c r="M571"/>
      <c r="N571"/>
      <c r="O571"/>
      <c r="P571"/>
    </row>
    <row r="572" spans="1:16" ht="12" customHeight="1" x14ac:dyDescent="0.2">
      <c r="A572"/>
      <c r="B572"/>
      <c r="C572"/>
      <c r="H572"/>
      <c r="I572"/>
      <c r="J572"/>
      <c r="K572"/>
      <c r="L572"/>
      <c r="M572"/>
      <c r="N572"/>
      <c r="O572"/>
      <c r="P572"/>
    </row>
    <row r="573" spans="1:16" ht="12" customHeight="1" x14ac:dyDescent="0.2">
      <c r="A573"/>
      <c r="B573"/>
      <c r="C573"/>
      <c r="H573"/>
      <c r="I573"/>
      <c r="J573"/>
      <c r="K573"/>
      <c r="L573"/>
      <c r="M573"/>
      <c r="N573"/>
      <c r="O573"/>
      <c r="P573"/>
    </row>
    <row r="574" spans="1:16" ht="12" customHeight="1" x14ac:dyDescent="0.2">
      <c r="A574"/>
      <c r="B574"/>
      <c r="C574"/>
      <c r="H574"/>
      <c r="I574"/>
      <c r="J574"/>
      <c r="K574"/>
      <c r="L574"/>
      <c r="M574"/>
      <c r="N574"/>
      <c r="O574"/>
      <c r="P574"/>
    </row>
    <row r="575" spans="1:16" ht="12" customHeight="1" x14ac:dyDescent="0.2">
      <c r="A575"/>
      <c r="B575"/>
      <c r="C575"/>
      <c r="H575"/>
      <c r="I575"/>
      <c r="J575"/>
      <c r="K575"/>
      <c r="L575"/>
      <c r="M575"/>
      <c r="N575"/>
      <c r="O575"/>
      <c r="P575"/>
    </row>
    <row r="576" spans="1:16" x14ac:dyDescent="0.2">
      <c r="A576"/>
      <c r="B576"/>
      <c r="C576"/>
      <c r="H576"/>
      <c r="I576"/>
      <c r="J576"/>
      <c r="K576"/>
      <c r="L576"/>
      <c r="M576"/>
      <c r="N576"/>
      <c r="O576"/>
      <c r="P576"/>
    </row>
    <row r="577" spans="1:16" x14ac:dyDescent="0.2">
      <c r="A577"/>
      <c r="B577"/>
      <c r="C577"/>
      <c r="H577"/>
      <c r="I577"/>
      <c r="J577"/>
      <c r="K577"/>
      <c r="L577"/>
      <c r="M577"/>
      <c r="N577"/>
      <c r="O577"/>
      <c r="P577"/>
    </row>
    <row r="578" spans="1:16" x14ac:dyDescent="0.2">
      <c r="A578"/>
      <c r="B578"/>
      <c r="C578"/>
      <c r="H578"/>
      <c r="I578"/>
      <c r="J578"/>
      <c r="K578"/>
      <c r="L578"/>
      <c r="M578"/>
      <c r="N578"/>
      <c r="O578"/>
      <c r="P578"/>
    </row>
    <row r="579" spans="1:16" ht="12" customHeight="1" x14ac:dyDescent="0.2">
      <c r="A579"/>
      <c r="B579"/>
      <c r="C579"/>
      <c r="H579"/>
      <c r="I579"/>
      <c r="J579"/>
      <c r="K579"/>
      <c r="L579"/>
      <c r="M579"/>
      <c r="N579"/>
      <c r="O579"/>
      <c r="P579"/>
    </row>
    <row r="580" spans="1:16" ht="12" customHeight="1" x14ac:dyDescent="0.2">
      <c r="A580"/>
      <c r="B580"/>
      <c r="C580"/>
      <c r="H580"/>
      <c r="I580"/>
      <c r="J580"/>
      <c r="K580"/>
      <c r="L580"/>
      <c r="M580"/>
      <c r="N580"/>
      <c r="O580"/>
      <c r="P580"/>
    </row>
    <row r="581" spans="1:16" ht="12" customHeight="1" x14ac:dyDescent="0.2">
      <c r="A581"/>
      <c r="B581"/>
      <c r="C581"/>
      <c r="H581"/>
      <c r="I581"/>
      <c r="J581"/>
      <c r="K581"/>
      <c r="L581"/>
      <c r="M581"/>
      <c r="N581"/>
      <c r="O581"/>
      <c r="P581"/>
    </row>
    <row r="582" spans="1:16" ht="12" customHeight="1" x14ac:dyDescent="0.2">
      <c r="A582"/>
      <c r="B582"/>
      <c r="C582"/>
      <c r="H582"/>
      <c r="I582"/>
      <c r="J582"/>
      <c r="K582"/>
      <c r="L582"/>
      <c r="M582"/>
      <c r="N582"/>
      <c r="O582"/>
      <c r="P582"/>
    </row>
    <row r="583" spans="1:16" ht="12" customHeight="1" x14ac:dyDescent="0.2">
      <c r="A583"/>
      <c r="B583"/>
      <c r="C583"/>
      <c r="H583"/>
      <c r="I583"/>
      <c r="J583"/>
      <c r="K583"/>
      <c r="L583"/>
      <c r="M583"/>
      <c r="N583"/>
      <c r="O583"/>
      <c r="P583"/>
    </row>
    <row r="584" spans="1:16" x14ac:dyDescent="0.2">
      <c r="A584"/>
      <c r="B584"/>
      <c r="C584"/>
      <c r="H584"/>
      <c r="I584"/>
      <c r="J584"/>
      <c r="K584"/>
      <c r="L584"/>
      <c r="M584"/>
      <c r="N584"/>
      <c r="O584"/>
      <c r="P584"/>
    </row>
    <row r="585" spans="1:16" x14ac:dyDescent="0.2">
      <c r="A585"/>
      <c r="B585"/>
      <c r="C585"/>
      <c r="H585"/>
      <c r="I585"/>
      <c r="J585"/>
      <c r="K585"/>
      <c r="L585"/>
      <c r="M585"/>
      <c r="N585"/>
      <c r="O585"/>
      <c r="P585"/>
    </row>
    <row r="586" spans="1:16" ht="12" customHeight="1" x14ac:dyDescent="0.2">
      <c r="A586"/>
      <c r="B586"/>
      <c r="C586"/>
      <c r="H586"/>
      <c r="I586"/>
      <c r="J586"/>
      <c r="K586"/>
      <c r="L586"/>
      <c r="M586"/>
      <c r="N586"/>
      <c r="O586"/>
      <c r="P586"/>
    </row>
    <row r="587" spans="1:16" ht="12" customHeight="1" x14ac:dyDescent="0.2">
      <c r="A587"/>
      <c r="B587"/>
      <c r="C587"/>
      <c r="H587"/>
      <c r="I587"/>
      <c r="J587"/>
      <c r="K587"/>
      <c r="L587"/>
      <c r="M587"/>
      <c r="N587"/>
      <c r="O587"/>
      <c r="P587"/>
    </row>
    <row r="588" spans="1:16" ht="12" customHeight="1" x14ac:dyDescent="0.2">
      <c r="A588"/>
      <c r="B588"/>
      <c r="C588"/>
      <c r="H588"/>
      <c r="I588"/>
      <c r="J588"/>
      <c r="K588"/>
      <c r="L588"/>
      <c r="M588"/>
      <c r="N588"/>
      <c r="O588"/>
      <c r="P588"/>
    </row>
    <row r="589" spans="1:16" ht="12" customHeight="1" x14ac:dyDescent="0.2">
      <c r="A589"/>
      <c r="B589"/>
      <c r="C589"/>
      <c r="H589"/>
      <c r="I589"/>
      <c r="J589"/>
      <c r="K589"/>
      <c r="L589"/>
      <c r="M589"/>
      <c r="N589"/>
      <c r="O589"/>
      <c r="P589"/>
    </row>
    <row r="590" spans="1:16" ht="12" customHeight="1" x14ac:dyDescent="0.2">
      <c r="A590"/>
      <c r="B590"/>
      <c r="C590"/>
      <c r="H590"/>
      <c r="I590"/>
      <c r="J590"/>
      <c r="K590"/>
      <c r="L590"/>
      <c r="M590"/>
      <c r="N590"/>
      <c r="O590"/>
      <c r="P590"/>
    </row>
    <row r="591" spans="1:16" x14ac:dyDescent="0.2">
      <c r="A591"/>
      <c r="B591"/>
      <c r="C591"/>
      <c r="H591"/>
      <c r="I591"/>
      <c r="J591"/>
      <c r="K591"/>
      <c r="L591"/>
      <c r="M591"/>
      <c r="N591"/>
      <c r="O591"/>
      <c r="P591"/>
    </row>
    <row r="592" spans="1:16" x14ac:dyDescent="0.2">
      <c r="A592"/>
      <c r="B592"/>
      <c r="C592"/>
      <c r="H592"/>
      <c r="I592"/>
      <c r="J592"/>
      <c r="K592"/>
      <c r="L592"/>
      <c r="M592"/>
      <c r="N592"/>
      <c r="O592"/>
      <c r="P592"/>
    </row>
    <row r="593" spans="1:16" ht="12" customHeight="1" x14ac:dyDescent="0.2">
      <c r="A593"/>
      <c r="B593"/>
      <c r="C593"/>
      <c r="H593"/>
      <c r="I593"/>
      <c r="J593"/>
      <c r="K593"/>
      <c r="L593"/>
      <c r="M593"/>
      <c r="N593"/>
      <c r="O593"/>
      <c r="P593"/>
    </row>
    <row r="594" spans="1:16" ht="12" customHeight="1" x14ac:dyDescent="0.2">
      <c r="A594"/>
      <c r="B594"/>
      <c r="C594"/>
      <c r="H594"/>
      <c r="I594"/>
      <c r="J594"/>
      <c r="K594"/>
      <c r="L594"/>
      <c r="M594"/>
      <c r="N594"/>
      <c r="O594"/>
      <c r="P594"/>
    </row>
    <row r="595" spans="1:16" ht="12" customHeight="1" x14ac:dyDescent="0.2">
      <c r="A595"/>
      <c r="B595"/>
      <c r="C595"/>
      <c r="H595"/>
      <c r="I595"/>
      <c r="J595"/>
      <c r="K595"/>
      <c r="L595"/>
      <c r="M595"/>
      <c r="N595"/>
      <c r="O595"/>
      <c r="P595"/>
    </row>
    <row r="596" spans="1:16" ht="12" customHeight="1" x14ac:dyDescent="0.2">
      <c r="A596"/>
      <c r="B596"/>
      <c r="C596"/>
      <c r="H596"/>
      <c r="I596"/>
      <c r="J596"/>
      <c r="K596"/>
      <c r="L596"/>
      <c r="M596"/>
      <c r="N596"/>
      <c r="O596"/>
      <c r="P596"/>
    </row>
    <row r="597" spans="1:16" ht="12" customHeight="1" x14ac:dyDescent="0.2">
      <c r="A597"/>
      <c r="B597"/>
      <c r="C597"/>
      <c r="H597"/>
      <c r="I597"/>
      <c r="J597"/>
      <c r="K597"/>
      <c r="L597"/>
      <c r="M597"/>
      <c r="N597"/>
      <c r="O597"/>
      <c r="P597"/>
    </row>
    <row r="598" spans="1:16" x14ac:dyDescent="0.2">
      <c r="A598"/>
      <c r="B598"/>
      <c r="C598"/>
      <c r="H598"/>
      <c r="I598"/>
      <c r="J598"/>
      <c r="K598"/>
      <c r="L598"/>
      <c r="M598"/>
      <c r="N598"/>
      <c r="O598"/>
      <c r="P598"/>
    </row>
    <row r="599" spans="1:16" x14ac:dyDescent="0.2">
      <c r="A599"/>
      <c r="B599"/>
      <c r="C599"/>
      <c r="H599"/>
      <c r="I599"/>
      <c r="J599"/>
      <c r="K599"/>
      <c r="L599"/>
      <c r="M599"/>
      <c r="N599"/>
      <c r="O599"/>
      <c r="P599"/>
    </row>
    <row r="600" spans="1:16" x14ac:dyDescent="0.2">
      <c r="A600"/>
      <c r="B600"/>
      <c r="C600"/>
      <c r="H600"/>
      <c r="I600"/>
      <c r="J600"/>
      <c r="K600"/>
      <c r="L600"/>
      <c r="M600"/>
      <c r="N600"/>
      <c r="O600"/>
      <c r="P600"/>
    </row>
    <row r="601" spans="1:16" x14ac:dyDescent="0.2">
      <c r="A601"/>
      <c r="B601"/>
      <c r="C601"/>
      <c r="H601"/>
      <c r="I601"/>
      <c r="J601"/>
      <c r="K601"/>
      <c r="L601"/>
      <c r="M601"/>
      <c r="N601"/>
      <c r="O601"/>
      <c r="P601"/>
    </row>
    <row r="602" spans="1:16" ht="12" customHeight="1" x14ac:dyDescent="0.2">
      <c r="A602"/>
      <c r="B602"/>
      <c r="C602"/>
      <c r="H602"/>
      <c r="I602"/>
      <c r="J602"/>
      <c r="K602"/>
      <c r="L602"/>
      <c r="M602"/>
      <c r="N602"/>
      <c r="O602"/>
      <c r="P602"/>
    </row>
    <row r="603" spans="1:16" ht="12" customHeight="1" x14ac:dyDescent="0.2">
      <c r="A603"/>
      <c r="B603"/>
      <c r="C603"/>
      <c r="H603"/>
      <c r="I603"/>
      <c r="J603"/>
      <c r="K603"/>
      <c r="L603"/>
      <c r="M603"/>
      <c r="N603"/>
      <c r="O603"/>
      <c r="P603"/>
    </row>
    <row r="604" spans="1:16" ht="12" customHeight="1" x14ac:dyDescent="0.2">
      <c r="A604"/>
      <c r="B604"/>
      <c r="C604"/>
      <c r="H604"/>
      <c r="I604"/>
      <c r="J604"/>
      <c r="K604"/>
      <c r="L604"/>
      <c r="M604"/>
      <c r="N604"/>
      <c r="O604"/>
      <c r="P604"/>
    </row>
    <row r="605" spans="1:16" ht="12" customHeight="1" x14ac:dyDescent="0.2">
      <c r="A605"/>
      <c r="B605"/>
      <c r="C605"/>
      <c r="H605"/>
      <c r="I605"/>
      <c r="J605"/>
      <c r="K605"/>
      <c r="L605"/>
      <c r="M605"/>
      <c r="N605"/>
      <c r="O605"/>
      <c r="P605"/>
    </row>
    <row r="606" spans="1:16" ht="12" customHeight="1" x14ac:dyDescent="0.2">
      <c r="A606"/>
      <c r="B606"/>
      <c r="C606"/>
      <c r="H606"/>
      <c r="I606"/>
      <c r="J606"/>
      <c r="K606"/>
      <c r="L606"/>
      <c r="M606"/>
      <c r="N606"/>
      <c r="O606"/>
      <c r="P606"/>
    </row>
    <row r="607" spans="1:16" x14ac:dyDescent="0.2">
      <c r="A607"/>
      <c r="B607"/>
      <c r="C607"/>
      <c r="H607"/>
      <c r="I607"/>
      <c r="J607"/>
      <c r="K607"/>
      <c r="L607"/>
      <c r="M607"/>
      <c r="N607"/>
      <c r="O607"/>
      <c r="P607"/>
    </row>
    <row r="608" spans="1:16" x14ac:dyDescent="0.2">
      <c r="A608"/>
      <c r="B608"/>
      <c r="C608"/>
      <c r="H608"/>
      <c r="I608"/>
      <c r="J608"/>
      <c r="K608"/>
      <c r="L608"/>
      <c r="M608"/>
      <c r="N608"/>
      <c r="O608"/>
      <c r="P608"/>
    </row>
    <row r="609" spans="1:16" x14ac:dyDescent="0.2">
      <c r="A609"/>
      <c r="B609"/>
      <c r="C609"/>
      <c r="H609"/>
      <c r="I609"/>
      <c r="J609"/>
      <c r="K609"/>
      <c r="L609"/>
      <c r="M609"/>
      <c r="N609"/>
      <c r="O609"/>
      <c r="P609"/>
    </row>
    <row r="610" spans="1:16" ht="12" customHeight="1" x14ac:dyDescent="0.2">
      <c r="A610"/>
      <c r="B610"/>
      <c r="C610"/>
      <c r="H610"/>
      <c r="I610"/>
      <c r="J610"/>
      <c r="K610"/>
      <c r="L610"/>
      <c r="M610"/>
      <c r="N610"/>
      <c r="O610"/>
      <c r="P610"/>
    </row>
    <row r="611" spans="1:16" ht="12" customHeight="1" x14ac:dyDescent="0.2">
      <c r="A611"/>
      <c r="B611"/>
      <c r="C611"/>
      <c r="H611"/>
      <c r="I611"/>
      <c r="J611"/>
      <c r="K611"/>
      <c r="L611"/>
      <c r="M611"/>
      <c r="N611"/>
      <c r="O611"/>
      <c r="P611"/>
    </row>
    <row r="612" spans="1:16" ht="12" customHeight="1" x14ac:dyDescent="0.2">
      <c r="A612"/>
      <c r="B612"/>
      <c r="C612"/>
      <c r="H612"/>
      <c r="I612"/>
      <c r="J612"/>
      <c r="K612"/>
      <c r="L612"/>
      <c r="M612"/>
      <c r="N612"/>
      <c r="O612"/>
      <c r="P612"/>
    </row>
    <row r="613" spans="1:16" ht="12" customHeight="1" x14ac:dyDescent="0.2">
      <c r="A613"/>
      <c r="B613"/>
      <c r="C613"/>
      <c r="H613"/>
      <c r="I613"/>
      <c r="J613"/>
      <c r="K613"/>
      <c r="L613"/>
      <c r="M613"/>
      <c r="N613"/>
      <c r="O613"/>
      <c r="P613"/>
    </row>
    <row r="614" spans="1:16" ht="12" customHeight="1" x14ac:dyDescent="0.2">
      <c r="A614"/>
      <c r="B614"/>
      <c r="C614"/>
      <c r="H614"/>
      <c r="I614"/>
      <c r="J614"/>
      <c r="K614"/>
      <c r="L614"/>
      <c r="M614"/>
      <c r="N614"/>
      <c r="O614"/>
      <c r="P614"/>
    </row>
    <row r="615" spans="1:16" ht="12" customHeight="1" x14ac:dyDescent="0.2">
      <c r="A615"/>
      <c r="B615"/>
      <c r="C615"/>
      <c r="H615"/>
      <c r="I615"/>
      <c r="J615"/>
      <c r="K615"/>
      <c r="L615"/>
      <c r="M615"/>
      <c r="N615"/>
      <c r="O615"/>
      <c r="P615"/>
    </row>
    <row r="616" spans="1:16" x14ac:dyDescent="0.2">
      <c r="A616"/>
      <c r="B616"/>
      <c r="C616"/>
      <c r="H616"/>
      <c r="I616"/>
      <c r="J616"/>
      <c r="K616"/>
      <c r="L616"/>
      <c r="M616"/>
      <c r="N616"/>
      <c r="O616"/>
      <c r="P616"/>
    </row>
    <row r="617" spans="1:16" x14ac:dyDescent="0.2">
      <c r="A617"/>
      <c r="B617"/>
      <c r="C617"/>
      <c r="H617"/>
      <c r="I617"/>
      <c r="J617"/>
      <c r="K617"/>
      <c r="L617"/>
      <c r="M617"/>
      <c r="N617"/>
      <c r="O617"/>
      <c r="P617"/>
    </row>
    <row r="618" spans="1:16" x14ac:dyDescent="0.2">
      <c r="A618"/>
      <c r="B618"/>
      <c r="C618"/>
      <c r="H618"/>
      <c r="I618"/>
      <c r="J618"/>
      <c r="K618"/>
      <c r="L618"/>
      <c r="M618"/>
      <c r="N618"/>
      <c r="O618"/>
      <c r="P618"/>
    </row>
    <row r="619" spans="1:16" ht="12" customHeight="1" x14ac:dyDescent="0.2">
      <c r="A619"/>
      <c r="B619"/>
      <c r="C619"/>
      <c r="H619"/>
      <c r="I619"/>
      <c r="J619"/>
      <c r="K619"/>
      <c r="L619"/>
      <c r="M619"/>
      <c r="N619"/>
      <c r="O619"/>
      <c r="P619"/>
    </row>
    <row r="620" spans="1:16" ht="12" customHeight="1" x14ac:dyDescent="0.2">
      <c r="A620"/>
      <c r="B620"/>
      <c r="C620"/>
      <c r="H620"/>
      <c r="I620"/>
      <c r="J620"/>
      <c r="K620"/>
      <c r="L620"/>
      <c r="M620"/>
      <c r="N620"/>
      <c r="O620"/>
      <c r="P620"/>
    </row>
    <row r="621" spans="1:16" ht="12" customHeight="1" x14ac:dyDescent="0.2">
      <c r="A621"/>
      <c r="B621"/>
      <c r="C621"/>
      <c r="H621"/>
      <c r="I621"/>
      <c r="J621"/>
      <c r="K621"/>
      <c r="L621"/>
      <c r="M621"/>
      <c r="N621"/>
      <c r="O621"/>
      <c r="P621"/>
    </row>
    <row r="622" spans="1:16" ht="12" customHeight="1" x14ac:dyDescent="0.2">
      <c r="A622"/>
      <c r="B622"/>
      <c r="C622"/>
      <c r="H622"/>
      <c r="I622"/>
      <c r="J622"/>
      <c r="K622"/>
      <c r="L622"/>
      <c r="M622"/>
      <c r="N622"/>
      <c r="O622"/>
      <c r="P622"/>
    </row>
    <row r="623" spans="1:16" ht="12" customHeight="1" x14ac:dyDescent="0.2">
      <c r="A623"/>
      <c r="B623"/>
      <c r="C623"/>
      <c r="H623"/>
      <c r="I623"/>
      <c r="J623"/>
      <c r="K623"/>
      <c r="L623"/>
      <c r="M623"/>
      <c r="N623"/>
      <c r="O623"/>
      <c r="P623"/>
    </row>
    <row r="624" spans="1:16" x14ac:dyDescent="0.2">
      <c r="A624"/>
      <c r="B624"/>
      <c r="C624"/>
      <c r="H624"/>
      <c r="I624"/>
      <c r="J624"/>
      <c r="K624"/>
      <c r="L624"/>
      <c r="M624"/>
      <c r="N624"/>
      <c r="O624"/>
      <c r="P624"/>
    </row>
    <row r="625" spans="1:16" x14ac:dyDescent="0.2">
      <c r="A625"/>
      <c r="B625"/>
      <c r="C625"/>
      <c r="H625"/>
      <c r="I625"/>
      <c r="J625"/>
      <c r="K625"/>
      <c r="L625"/>
      <c r="M625"/>
      <c r="N625"/>
      <c r="O625"/>
      <c r="P625"/>
    </row>
    <row r="626" spans="1:16" x14ac:dyDescent="0.2">
      <c r="A626"/>
      <c r="B626"/>
      <c r="C626"/>
      <c r="H626"/>
      <c r="I626"/>
      <c r="J626"/>
      <c r="K626"/>
      <c r="L626"/>
      <c r="M626"/>
      <c r="N626"/>
      <c r="O626"/>
      <c r="P626"/>
    </row>
    <row r="627" spans="1:16" ht="12" customHeight="1" x14ac:dyDescent="0.2">
      <c r="A627"/>
      <c r="B627"/>
      <c r="C627"/>
      <c r="H627"/>
      <c r="I627"/>
      <c r="J627"/>
      <c r="K627"/>
      <c r="L627"/>
      <c r="M627"/>
      <c r="N627"/>
      <c r="O627"/>
      <c r="P627"/>
    </row>
    <row r="628" spans="1:16" ht="12" customHeight="1" x14ac:dyDescent="0.2">
      <c r="A628"/>
      <c r="B628"/>
      <c r="C628"/>
      <c r="H628"/>
      <c r="I628"/>
      <c r="J628"/>
      <c r="K628"/>
      <c r="L628"/>
      <c r="M628"/>
      <c r="N628"/>
      <c r="O628"/>
      <c r="P628"/>
    </row>
    <row r="629" spans="1:16" ht="12" customHeight="1" x14ac:dyDescent="0.2">
      <c r="A629"/>
      <c r="B629"/>
      <c r="C629"/>
      <c r="H629"/>
      <c r="I629"/>
      <c r="J629"/>
      <c r="K629"/>
      <c r="L629"/>
      <c r="M629"/>
      <c r="N629"/>
      <c r="O629"/>
      <c r="P629"/>
    </row>
    <row r="630" spans="1:16" ht="12" customHeight="1" x14ac:dyDescent="0.2">
      <c r="A630"/>
      <c r="B630"/>
      <c r="C630"/>
      <c r="H630"/>
      <c r="I630"/>
      <c r="J630"/>
      <c r="K630"/>
      <c r="L630"/>
      <c r="M630"/>
      <c r="N630"/>
      <c r="O630"/>
      <c r="P630"/>
    </row>
    <row r="631" spans="1:16" ht="12" customHeight="1" x14ac:dyDescent="0.2">
      <c r="A631"/>
      <c r="B631"/>
      <c r="C631"/>
      <c r="H631"/>
      <c r="I631"/>
      <c r="J631"/>
      <c r="K631"/>
      <c r="L631"/>
      <c r="M631"/>
      <c r="N631"/>
      <c r="O631"/>
      <c r="P631"/>
    </row>
    <row r="632" spans="1:16" x14ac:dyDescent="0.2">
      <c r="A632"/>
      <c r="B632"/>
      <c r="C632"/>
      <c r="H632"/>
      <c r="I632"/>
      <c r="J632"/>
      <c r="K632"/>
      <c r="L632"/>
      <c r="M632"/>
      <c r="N632"/>
      <c r="O632"/>
      <c r="P632"/>
    </row>
    <row r="633" spans="1:16" x14ac:dyDescent="0.2">
      <c r="A633"/>
      <c r="B633"/>
      <c r="C633"/>
      <c r="H633"/>
      <c r="I633"/>
      <c r="J633"/>
      <c r="K633"/>
      <c r="L633"/>
      <c r="M633"/>
      <c r="N633"/>
      <c r="O633"/>
      <c r="P633"/>
    </row>
    <row r="634" spans="1:16" x14ac:dyDescent="0.2">
      <c r="A634"/>
      <c r="B634"/>
      <c r="C634"/>
      <c r="H634"/>
      <c r="I634"/>
      <c r="J634"/>
      <c r="K634"/>
      <c r="L634"/>
      <c r="M634"/>
      <c r="N634"/>
      <c r="O634"/>
      <c r="P634"/>
    </row>
    <row r="635" spans="1:16" ht="12" customHeight="1" x14ac:dyDescent="0.2">
      <c r="A635"/>
      <c r="B635"/>
      <c r="C635"/>
      <c r="H635"/>
      <c r="I635"/>
      <c r="J635"/>
      <c r="K635"/>
      <c r="L635"/>
      <c r="M635"/>
      <c r="N635"/>
      <c r="O635"/>
      <c r="P635"/>
    </row>
    <row r="636" spans="1:16" ht="12" customHeight="1" x14ac:dyDescent="0.2">
      <c r="A636"/>
      <c r="B636"/>
      <c r="C636"/>
      <c r="H636"/>
      <c r="I636"/>
      <c r="J636"/>
      <c r="K636"/>
      <c r="L636"/>
      <c r="M636"/>
      <c r="N636"/>
      <c r="O636"/>
      <c r="P636"/>
    </row>
    <row r="637" spans="1:16" ht="12" customHeight="1" x14ac:dyDescent="0.2">
      <c r="A637"/>
      <c r="B637"/>
      <c r="C637"/>
      <c r="H637"/>
      <c r="I637"/>
      <c r="J637"/>
      <c r="K637"/>
      <c r="L637"/>
      <c r="M637"/>
      <c r="N637"/>
      <c r="O637"/>
      <c r="P637"/>
    </row>
    <row r="638" spans="1:16" ht="12" customHeight="1" x14ac:dyDescent="0.2">
      <c r="A638"/>
      <c r="B638"/>
      <c r="C638"/>
      <c r="H638"/>
      <c r="I638"/>
      <c r="J638"/>
      <c r="K638"/>
      <c r="L638"/>
      <c r="M638"/>
      <c r="N638"/>
      <c r="O638"/>
      <c r="P638"/>
    </row>
    <row r="639" spans="1:16" ht="12" customHeight="1" x14ac:dyDescent="0.2">
      <c r="A639"/>
      <c r="B639"/>
      <c r="C639"/>
      <c r="H639"/>
      <c r="I639"/>
      <c r="J639"/>
      <c r="K639"/>
      <c r="L639"/>
      <c r="M639"/>
      <c r="N639"/>
      <c r="O639"/>
      <c r="P639"/>
    </row>
    <row r="640" spans="1:16" x14ac:dyDescent="0.2">
      <c r="A640"/>
      <c r="B640"/>
      <c r="C640"/>
      <c r="H640"/>
      <c r="I640"/>
      <c r="J640"/>
      <c r="K640"/>
      <c r="L640"/>
      <c r="M640"/>
      <c r="N640"/>
      <c r="O640"/>
      <c r="P640"/>
    </row>
    <row r="641" spans="1:16" x14ac:dyDescent="0.2">
      <c r="A641"/>
      <c r="B641"/>
      <c r="C641"/>
      <c r="H641"/>
      <c r="I641"/>
      <c r="J641"/>
      <c r="K641"/>
      <c r="L641"/>
      <c r="M641"/>
      <c r="N641"/>
      <c r="O641"/>
      <c r="P641"/>
    </row>
    <row r="642" spans="1:16" x14ac:dyDescent="0.2">
      <c r="A642"/>
      <c r="B642"/>
      <c r="C642"/>
      <c r="H642"/>
      <c r="I642"/>
      <c r="J642"/>
      <c r="K642"/>
      <c r="L642"/>
      <c r="M642"/>
      <c r="N642"/>
      <c r="O642"/>
      <c r="P642"/>
    </row>
    <row r="643" spans="1:16" ht="12" customHeight="1" x14ac:dyDescent="0.2">
      <c r="A643"/>
      <c r="B643"/>
      <c r="C643"/>
      <c r="H643"/>
      <c r="I643"/>
      <c r="J643"/>
      <c r="K643"/>
      <c r="L643"/>
      <c r="M643"/>
      <c r="N643"/>
      <c r="O643"/>
      <c r="P643"/>
    </row>
    <row r="644" spans="1:16" ht="12" customHeight="1" x14ac:dyDescent="0.2">
      <c r="A644"/>
      <c r="B644"/>
      <c r="C644"/>
      <c r="H644"/>
      <c r="I644"/>
      <c r="J644"/>
      <c r="K644"/>
      <c r="L644"/>
      <c r="M644"/>
      <c r="N644"/>
      <c r="O644"/>
      <c r="P644"/>
    </row>
    <row r="645" spans="1:16" ht="12" customHeight="1" x14ac:dyDescent="0.2">
      <c r="A645"/>
      <c r="B645"/>
      <c r="C645"/>
      <c r="H645"/>
      <c r="I645"/>
      <c r="J645"/>
      <c r="K645"/>
      <c r="L645"/>
      <c r="M645"/>
      <c r="N645"/>
      <c r="O645"/>
      <c r="P645"/>
    </row>
    <row r="646" spans="1:16" ht="12" customHeight="1" x14ac:dyDescent="0.2">
      <c r="A646"/>
      <c r="B646"/>
      <c r="C646"/>
      <c r="H646"/>
      <c r="I646"/>
      <c r="J646"/>
      <c r="K646"/>
      <c r="L646"/>
      <c r="M646"/>
      <c r="N646"/>
      <c r="O646"/>
      <c r="P646"/>
    </row>
    <row r="647" spans="1:16" ht="12" customHeight="1" x14ac:dyDescent="0.2">
      <c r="A647"/>
      <c r="B647"/>
      <c r="C647"/>
      <c r="H647"/>
      <c r="I647"/>
      <c r="J647"/>
      <c r="K647"/>
      <c r="L647"/>
      <c r="M647"/>
      <c r="N647"/>
      <c r="O647"/>
      <c r="P647"/>
    </row>
    <row r="648" spans="1:16" x14ac:dyDescent="0.2">
      <c r="A648"/>
      <c r="B648"/>
      <c r="C648"/>
      <c r="H648"/>
      <c r="I648"/>
      <c r="J648"/>
      <c r="K648"/>
      <c r="L648"/>
      <c r="M648"/>
      <c r="N648"/>
      <c r="O648"/>
      <c r="P648"/>
    </row>
    <row r="649" spans="1:16" x14ac:dyDescent="0.2">
      <c r="A649"/>
      <c r="B649"/>
      <c r="C649"/>
      <c r="H649"/>
      <c r="I649"/>
      <c r="J649"/>
      <c r="K649"/>
      <c r="L649"/>
      <c r="M649"/>
      <c r="N649"/>
      <c r="O649"/>
      <c r="P649"/>
    </row>
    <row r="650" spans="1:16" x14ac:dyDescent="0.2">
      <c r="A650"/>
      <c r="B650"/>
      <c r="C650"/>
      <c r="H650"/>
      <c r="I650"/>
      <c r="J650"/>
      <c r="K650"/>
      <c r="L650"/>
      <c r="M650"/>
      <c r="N650"/>
      <c r="O650"/>
      <c r="P650"/>
    </row>
    <row r="651" spans="1:16" x14ac:dyDescent="0.2">
      <c r="A651"/>
      <c r="B651"/>
      <c r="C651"/>
      <c r="H651"/>
      <c r="I651"/>
      <c r="J651"/>
      <c r="K651"/>
      <c r="L651"/>
      <c r="M651"/>
      <c r="N651"/>
      <c r="O651"/>
      <c r="P651"/>
    </row>
    <row r="652" spans="1:16" x14ac:dyDescent="0.2">
      <c r="A652"/>
      <c r="B652"/>
      <c r="C652"/>
      <c r="H652"/>
      <c r="I652"/>
      <c r="J652"/>
      <c r="K652"/>
      <c r="L652"/>
      <c r="M652"/>
      <c r="N652"/>
      <c r="O652"/>
      <c r="P652"/>
    </row>
    <row r="653" spans="1:16" x14ac:dyDescent="0.2">
      <c r="A653"/>
      <c r="B653"/>
      <c r="C653"/>
      <c r="H653"/>
      <c r="I653"/>
      <c r="J653"/>
      <c r="K653"/>
      <c r="L653"/>
      <c r="M653"/>
      <c r="N653"/>
      <c r="O653"/>
      <c r="P653"/>
    </row>
    <row r="654" spans="1:16" x14ac:dyDescent="0.2">
      <c r="A654"/>
      <c r="B654"/>
      <c r="C654"/>
      <c r="H654"/>
      <c r="I654"/>
      <c r="J654"/>
      <c r="K654"/>
      <c r="L654"/>
      <c r="M654"/>
      <c r="N654"/>
      <c r="O654"/>
      <c r="P654"/>
    </row>
    <row r="655" spans="1:16" x14ac:dyDescent="0.2">
      <c r="A655"/>
      <c r="B655"/>
      <c r="C655"/>
      <c r="H655"/>
      <c r="I655"/>
      <c r="J655"/>
      <c r="K655"/>
      <c r="L655"/>
      <c r="M655"/>
      <c r="N655"/>
      <c r="O655"/>
      <c r="P655"/>
    </row>
    <row r="656" spans="1:16" x14ac:dyDescent="0.2">
      <c r="A656"/>
      <c r="B656"/>
      <c r="C656"/>
      <c r="H656"/>
      <c r="I656"/>
      <c r="J656"/>
      <c r="K656"/>
      <c r="L656"/>
      <c r="M656"/>
      <c r="N656"/>
      <c r="O656"/>
      <c r="P656"/>
    </row>
    <row r="657" spans="1:16" x14ac:dyDescent="0.2">
      <c r="A657"/>
      <c r="B657"/>
      <c r="C657"/>
      <c r="H657"/>
      <c r="I657"/>
      <c r="J657"/>
      <c r="K657"/>
      <c r="L657"/>
      <c r="M657"/>
      <c r="N657"/>
      <c r="O657"/>
      <c r="P657"/>
    </row>
    <row r="658" spans="1:16" x14ac:dyDescent="0.2">
      <c r="A658"/>
      <c r="B658"/>
      <c r="C658"/>
      <c r="H658"/>
      <c r="I658"/>
      <c r="J658"/>
      <c r="K658"/>
      <c r="L658"/>
      <c r="M658"/>
      <c r="N658"/>
      <c r="O658"/>
      <c r="P658"/>
    </row>
    <row r="659" spans="1:16" ht="12" customHeight="1" x14ac:dyDescent="0.2">
      <c r="A659"/>
      <c r="B659"/>
      <c r="C659"/>
      <c r="H659"/>
      <c r="I659"/>
      <c r="J659"/>
      <c r="K659"/>
      <c r="L659"/>
      <c r="M659"/>
      <c r="N659"/>
      <c r="O659"/>
      <c r="P659"/>
    </row>
    <row r="660" spans="1:16" ht="12" customHeight="1" x14ac:dyDescent="0.2">
      <c r="A660"/>
      <c r="B660"/>
      <c r="C660"/>
      <c r="H660"/>
      <c r="I660"/>
      <c r="J660"/>
      <c r="K660"/>
      <c r="L660"/>
      <c r="M660"/>
      <c r="N660"/>
      <c r="O660"/>
      <c r="P660"/>
    </row>
    <row r="661" spans="1:16" ht="12" customHeight="1" x14ac:dyDescent="0.2">
      <c r="A661"/>
      <c r="B661"/>
      <c r="C661"/>
      <c r="H661"/>
      <c r="I661"/>
      <c r="J661"/>
      <c r="K661"/>
      <c r="L661"/>
      <c r="M661"/>
      <c r="N661"/>
      <c r="O661"/>
      <c r="P661"/>
    </row>
    <row r="662" spans="1:16" ht="12" customHeight="1" x14ac:dyDescent="0.2">
      <c r="A662"/>
      <c r="B662"/>
      <c r="C662"/>
      <c r="H662"/>
      <c r="I662"/>
      <c r="J662"/>
      <c r="K662"/>
      <c r="L662"/>
      <c r="M662"/>
      <c r="N662"/>
      <c r="O662"/>
      <c r="P662"/>
    </row>
    <row r="663" spans="1:16" ht="12" customHeight="1" x14ac:dyDescent="0.2">
      <c r="A663"/>
      <c r="B663"/>
      <c r="C663"/>
      <c r="H663"/>
      <c r="I663"/>
      <c r="J663"/>
      <c r="K663"/>
      <c r="L663"/>
      <c r="M663"/>
      <c r="N663"/>
      <c r="O663"/>
      <c r="P663"/>
    </row>
    <row r="664" spans="1:16" x14ac:dyDescent="0.2">
      <c r="A664"/>
      <c r="B664"/>
      <c r="C664"/>
      <c r="H664"/>
      <c r="I664"/>
      <c r="J664"/>
      <c r="K664"/>
      <c r="L664"/>
      <c r="M664"/>
      <c r="N664"/>
      <c r="O664"/>
      <c r="P664"/>
    </row>
    <row r="665" spans="1:16" x14ac:dyDescent="0.2">
      <c r="A665"/>
      <c r="B665"/>
      <c r="C665"/>
      <c r="H665"/>
      <c r="I665"/>
      <c r="J665"/>
      <c r="K665"/>
      <c r="L665"/>
      <c r="M665"/>
      <c r="N665"/>
      <c r="O665"/>
      <c r="P665"/>
    </row>
    <row r="666" spans="1:16" x14ac:dyDescent="0.2">
      <c r="A666"/>
      <c r="B666"/>
      <c r="C666"/>
      <c r="H666"/>
      <c r="I666"/>
      <c r="J666"/>
      <c r="K666"/>
      <c r="L666"/>
      <c r="M666"/>
      <c r="N666"/>
      <c r="O666"/>
      <c r="P666"/>
    </row>
    <row r="667" spans="1:16" ht="12" customHeight="1" x14ac:dyDescent="0.2">
      <c r="A667"/>
      <c r="B667"/>
      <c r="C667"/>
      <c r="H667"/>
      <c r="I667"/>
      <c r="J667"/>
      <c r="K667"/>
      <c r="L667"/>
      <c r="M667"/>
      <c r="N667"/>
      <c r="O667"/>
      <c r="P667"/>
    </row>
    <row r="668" spans="1:16" ht="12" customHeight="1" x14ac:dyDescent="0.2">
      <c r="A668"/>
      <c r="B668"/>
      <c r="C668"/>
      <c r="H668"/>
      <c r="I668"/>
      <c r="J668"/>
      <c r="K668"/>
      <c r="L668"/>
      <c r="M668"/>
      <c r="N668"/>
      <c r="O668"/>
      <c r="P668"/>
    </row>
    <row r="669" spans="1:16" ht="12" customHeight="1" x14ac:dyDescent="0.2">
      <c r="A669"/>
      <c r="B669"/>
      <c r="C669"/>
      <c r="H669"/>
      <c r="I669"/>
      <c r="J669"/>
      <c r="K669"/>
      <c r="L669"/>
      <c r="M669"/>
      <c r="N669"/>
      <c r="O669"/>
      <c r="P669"/>
    </row>
    <row r="670" spans="1:16" ht="12" customHeight="1" x14ac:dyDescent="0.2">
      <c r="A670"/>
      <c r="B670"/>
      <c r="C670"/>
      <c r="H670"/>
      <c r="I670"/>
      <c r="J670"/>
      <c r="K670"/>
      <c r="L670"/>
      <c r="M670"/>
      <c r="N670"/>
      <c r="O670"/>
      <c r="P670"/>
    </row>
    <row r="671" spans="1:16" ht="12" customHeight="1" x14ac:dyDescent="0.2">
      <c r="A671"/>
      <c r="B671"/>
      <c r="C671"/>
      <c r="H671"/>
      <c r="I671"/>
      <c r="J671"/>
      <c r="K671"/>
      <c r="L671"/>
      <c r="M671"/>
      <c r="N671"/>
      <c r="O671"/>
      <c r="P671"/>
    </row>
    <row r="672" spans="1:16" ht="12" customHeight="1" x14ac:dyDescent="0.2">
      <c r="A672"/>
      <c r="B672"/>
      <c r="C672"/>
      <c r="H672"/>
      <c r="I672"/>
      <c r="J672"/>
      <c r="K672"/>
      <c r="L672"/>
      <c r="M672"/>
      <c r="N672"/>
      <c r="O672"/>
      <c r="P672"/>
    </row>
    <row r="673" spans="1:16" ht="15" customHeight="1" x14ac:dyDescent="0.2">
      <c r="A673"/>
      <c r="B673"/>
      <c r="C673"/>
      <c r="H673"/>
      <c r="I673"/>
      <c r="J673"/>
      <c r="K673"/>
      <c r="L673"/>
      <c r="M673"/>
      <c r="N673"/>
      <c r="O673"/>
      <c r="P673"/>
    </row>
    <row r="674" spans="1:16" x14ac:dyDescent="0.2">
      <c r="A674"/>
      <c r="B674"/>
      <c r="C674"/>
      <c r="H674"/>
      <c r="I674"/>
      <c r="J674"/>
      <c r="K674"/>
      <c r="L674"/>
      <c r="M674"/>
      <c r="N674"/>
      <c r="O674"/>
      <c r="P674"/>
    </row>
    <row r="675" spans="1:16" x14ac:dyDescent="0.2">
      <c r="A675"/>
      <c r="B675"/>
      <c r="C675"/>
      <c r="H675"/>
      <c r="I675"/>
      <c r="J675"/>
      <c r="K675"/>
      <c r="L675"/>
      <c r="M675"/>
      <c r="N675"/>
      <c r="O675"/>
      <c r="P675"/>
    </row>
    <row r="676" spans="1:16" ht="12" customHeight="1" x14ac:dyDescent="0.2">
      <c r="A676"/>
      <c r="B676"/>
      <c r="C676"/>
      <c r="H676"/>
      <c r="I676"/>
      <c r="J676"/>
      <c r="K676"/>
      <c r="L676"/>
      <c r="M676"/>
      <c r="N676"/>
      <c r="O676"/>
      <c r="P676"/>
    </row>
    <row r="677" spans="1:16" ht="12" customHeight="1" x14ac:dyDescent="0.2">
      <c r="A677"/>
      <c r="B677"/>
      <c r="C677"/>
      <c r="H677"/>
      <c r="I677"/>
      <c r="J677"/>
      <c r="K677"/>
      <c r="L677"/>
      <c r="M677"/>
      <c r="N677"/>
      <c r="O677"/>
      <c r="P677"/>
    </row>
    <row r="678" spans="1:16" ht="12" customHeight="1" x14ac:dyDescent="0.2">
      <c r="A678"/>
      <c r="B678"/>
      <c r="C678"/>
      <c r="H678"/>
      <c r="I678"/>
      <c r="J678"/>
      <c r="K678"/>
      <c r="L678"/>
      <c r="M678"/>
      <c r="N678"/>
      <c r="O678"/>
      <c r="P678"/>
    </row>
    <row r="679" spans="1:16" ht="12" customHeight="1" x14ac:dyDescent="0.2">
      <c r="A679"/>
      <c r="B679"/>
      <c r="C679"/>
      <c r="H679"/>
      <c r="I679"/>
      <c r="J679"/>
      <c r="K679"/>
      <c r="L679"/>
      <c r="M679"/>
      <c r="N679"/>
      <c r="O679"/>
      <c r="P679"/>
    </row>
    <row r="680" spans="1:16" ht="12" customHeight="1" x14ac:dyDescent="0.2">
      <c r="A680"/>
      <c r="B680"/>
      <c r="C680"/>
      <c r="H680"/>
      <c r="I680"/>
      <c r="J680"/>
      <c r="K680"/>
      <c r="L680"/>
      <c r="M680"/>
      <c r="N680"/>
      <c r="O680"/>
      <c r="P680"/>
    </row>
    <row r="681" spans="1:16" ht="12" customHeight="1" x14ac:dyDescent="0.2">
      <c r="A681"/>
      <c r="B681"/>
      <c r="C681"/>
      <c r="H681"/>
      <c r="I681"/>
      <c r="J681"/>
      <c r="K681"/>
      <c r="L681"/>
      <c r="M681"/>
      <c r="N681"/>
      <c r="O681"/>
      <c r="P681"/>
    </row>
    <row r="682" spans="1:16" ht="12" customHeight="1" x14ac:dyDescent="0.2">
      <c r="A682"/>
      <c r="B682"/>
      <c r="C682"/>
      <c r="H682"/>
      <c r="I682"/>
      <c r="J682"/>
      <c r="K682"/>
      <c r="L682"/>
      <c r="M682"/>
      <c r="N682"/>
      <c r="O682"/>
      <c r="P682"/>
    </row>
    <row r="683" spans="1:16" ht="12" customHeight="1" x14ac:dyDescent="0.2">
      <c r="A683"/>
      <c r="B683"/>
      <c r="C683"/>
      <c r="H683"/>
      <c r="I683"/>
      <c r="J683"/>
      <c r="K683"/>
      <c r="L683"/>
      <c r="M683"/>
      <c r="N683"/>
      <c r="O683"/>
      <c r="P683"/>
    </row>
    <row r="684" spans="1:16" x14ac:dyDescent="0.2">
      <c r="A684"/>
      <c r="B684"/>
      <c r="C684"/>
      <c r="H684"/>
      <c r="I684"/>
      <c r="J684"/>
      <c r="K684"/>
      <c r="L684"/>
      <c r="M684"/>
      <c r="N684"/>
      <c r="O684"/>
      <c r="P684"/>
    </row>
    <row r="685" spans="1:16" x14ac:dyDescent="0.2">
      <c r="A685"/>
      <c r="B685"/>
      <c r="C685"/>
      <c r="H685"/>
      <c r="I685"/>
      <c r="J685"/>
      <c r="K685"/>
      <c r="L685"/>
      <c r="M685"/>
      <c r="N685"/>
      <c r="O685"/>
      <c r="P685"/>
    </row>
    <row r="686" spans="1:16" x14ac:dyDescent="0.2">
      <c r="A686"/>
      <c r="B686"/>
      <c r="C686"/>
      <c r="H686"/>
      <c r="I686"/>
      <c r="J686"/>
      <c r="K686"/>
      <c r="L686"/>
      <c r="M686"/>
      <c r="N686"/>
      <c r="O686"/>
      <c r="P686"/>
    </row>
    <row r="687" spans="1:16" x14ac:dyDescent="0.2">
      <c r="A687"/>
      <c r="B687"/>
      <c r="C687"/>
      <c r="H687"/>
      <c r="I687"/>
      <c r="J687"/>
      <c r="K687"/>
      <c r="L687"/>
      <c r="M687"/>
      <c r="N687"/>
      <c r="O687"/>
      <c r="P687"/>
    </row>
    <row r="688" spans="1:16" x14ac:dyDescent="0.2">
      <c r="A688"/>
      <c r="B688"/>
      <c r="C688"/>
      <c r="H688"/>
      <c r="I688"/>
      <c r="J688"/>
      <c r="K688"/>
      <c r="L688"/>
      <c r="M688"/>
      <c r="N688"/>
      <c r="O688"/>
      <c r="P688"/>
    </row>
    <row r="689" spans="1:16" x14ac:dyDescent="0.2">
      <c r="A689"/>
      <c r="B689"/>
      <c r="C689"/>
      <c r="H689"/>
      <c r="I689"/>
      <c r="J689"/>
      <c r="K689"/>
      <c r="L689"/>
      <c r="M689"/>
      <c r="N689"/>
      <c r="O689"/>
      <c r="P689"/>
    </row>
    <row r="690" spans="1:16" x14ac:dyDescent="0.2">
      <c r="A690"/>
      <c r="B690"/>
      <c r="C690"/>
      <c r="H690"/>
      <c r="I690"/>
      <c r="J690"/>
      <c r="K690"/>
      <c r="L690"/>
      <c r="M690"/>
      <c r="N690"/>
      <c r="O690"/>
      <c r="P690"/>
    </row>
    <row r="691" spans="1:16" x14ac:dyDescent="0.2">
      <c r="A691"/>
      <c r="B691"/>
      <c r="C691"/>
      <c r="H691"/>
      <c r="I691"/>
      <c r="J691"/>
      <c r="K691"/>
      <c r="L691"/>
      <c r="M691"/>
      <c r="N691"/>
      <c r="O691"/>
      <c r="P691"/>
    </row>
    <row r="692" spans="1:16" x14ac:dyDescent="0.2">
      <c r="A692"/>
      <c r="B692"/>
      <c r="C692"/>
      <c r="H692"/>
      <c r="I692"/>
      <c r="J692"/>
      <c r="K692"/>
      <c r="L692"/>
      <c r="M692"/>
      <c r="N692"/>
      <c r="O692"/>
      <c r="P692"/>
    </row>
    <row r="693" spans="1:16" x14ac:dyDescent="0.2">
      <c r="A693"/>
      <c r="B693"/>
      <c r="C693"/>
      <c r="H693"/>
      <c r="I693"/>
      <c r="J693"/>
      <c r="K693"/>
      <c r="L693"/>
      <c r="M693"/>
      <c r="N693"/>
      <c r="O693"/>
      <c r="P693"/>
    </row>
    <row r="694" spans="1:16" x14ac:dyDescent="0.2">
      <c r="A694"/>
      <c r="B694"/>
      <c r="C694"/>
      <c r="H694"/>
      <c r="I694"/>
      <c r="J694"/>
      <c r="K694"/>
      <c r="L694"/>
      <c r="M694"/>
      <c r="N694"/>
      <c r="O694"/>
      <c r="P694"/>
    </row>
    <row r="695" spans="1:16" x14ac:dyDescent="0.2">
      <c r="A695"/>
      <c r="B695"/>
      <c r="C695"/>
      <c r="H695"/>
      <c r="I695"/>
      <c r="J695"/>
      <c r="K695"/>
      <c r="L695"/>
      <c r="M695"/>
      <c r="N695"/>
      <c r="O695"/>
      <c r="P695"/>
    </row>
    <row r="696" spans="1:16" x14ac:dyDescent="0.2">
      <c r="A696"/>
      <c r="B696"/>
      <c r="C696"/>
      <c r="H696"/>
      <c r="I696"/>
      <c r="J696"/>
      <c r="K696"/>
      <c r="L696"/>
      <c r="M696"/>
      <c r="N696"/>
      <c r="O696"/>
      <c r="P696"/>
    </row>
    <row r="697" spans="1:16" ht="12" customHeight="1" x14ac:dyDescent="0.2">
      <c r="A697"/>
      <c r="B697"/>
      <c r="C697"/>
      <c r="H697"/>
      <c r="I697"/>
      <c r="J697"/>
      <c r="K697"/>
      <c r="L697"/>
      <c r="M697"/>
      <c r="N697"/>
      <c r="O697"/>
      <c r="P697"/>
    </row>
    <row r="698" spans="1:16" ht="12" customHeight="1" x14ac:dyDescent="0.2">
      <c r="A698"/>
      <c r="B698"/>
      <c r="C698"/>
      <c r="H698"/>
      <c r="I698"/>
      <c r="J698"/>
      <c r="K698"/>
      <c r="L698"/>
      <c r="M698"/>
      <c r="N698"/>
      <c r="O698"/>
      <c r="P698"/>
    </row>
    <row r="699" spans="1:16" ht="12" customHeight="1" x14ac:dyDescent="0.2">
      <c r="A699"/>
      <c r="B699"/>
      <c r="C699"/>
      <c r="H699"/>
      <c r="I699"/>
      <c r="J699"/>
      <c r="K699"/>
      <c r="L699"/>
      <c r="M699"/>
      <c r="N699"/>
      <c r="O699"/>
      <c r="P699"/>
    </row>
    <row r="700" spans="1:16" ht="12" customHeight="1" x14ac:dyDescent="0.2">
      <c r="A700"/>
      <c r="B700"/>
      <c r="C700"/>
      <c r="H700"/>
      <c r="I700"/>
      <c r="J700"/>
      <c r="K700"/>
      <c r="L700"/>
      <c r="M700"/>
      <c r="N700"/>
      <c r="O700"/>
      <c r="P700"/>
    </row>
    <row r="701" spans="1:16" ht="12" customHeight="1" x14ac:dyDescent="0.2">
      <c r="A701"/>
      <c r="B701"/>
      <c r="C701"/>
      <c r="H701"/>
      <c r="I701"/>
      <c r="J701"/>
      <c r="K701"/>
      <c r="L701"/>
      <c r="M701"/>
      <c r="N701"/>
      <c r="O701"/>
      <c r="P701"/>
    </row>
    <row r="702" spans="1:16" ht="12" customHeight="1" x14ac:dyDescent="0.2">
      <c r="A702"/>
      <c r="B702"/>
      <c r="C702"/>
      <c r="H702"/>
      <c r="I702"/>
      <c r="J702"/>
      <c r="K702"/>
      <c r="L702"/>
      <c r="M702"/>
      <c r="N702"/>
      <c r="O702"/>
      <c r="P702"/>
    </row>
    <row r="703" spans="1:16" ht="12" customHeight="1" x14ac:dyDescent="0.2">
      <c r="A703"/>
      <c r="B703"/>
      <c r="C703"/>
      <c r="H703"/>
      <c r="I703"/>
      <c r="J703"/>
      <c r="K703"/>
      <c r="L703"/>
      <c r="M703"/>
      <c r="N703"/>
      <c r="O703"/>
      <c r="P703"/>
    </row>
    <row r="704" spans="1:16" x14ac:dyDescent="0.2">
      <c r="A704"/>
      <c r="B704"/>
      <c r="C704"/>
      <c r="H704"/>
      <c r="I704"/>
      <c r="J704"/>
      <c r="K704"/>
      <c r="L704"/>
      <c r="M704"/>
      <c r="N704"/>
      <c r="O704"/>
      <c r="P704"/>
    </row>
    <row r="705" spans="1:16" x14ac:dyDescent="0.2">
      <c r="A705"/>
      <c r="B705"/>
      <c r="C705"/>
      <c r="H705"/>
      <c r="I705"/>
      <c r="J705"/>
      <c r="K705"/>
      <c r="L705"/>
      <c r="M705"/>
      <c r="N705"/>
      <c r="O705"/>
      <c r="P705"/>
    </row>
    <row r="706" spans="1:16" x14ac:dyDescent="0.2">
      <c r="A706"/>
      <c r="B706"/>
      <c r="C706"/>
      <c r="H706"/>
      <c r="I706"/>
      <c r="J706"/>
      <c r="K706"/>
      <c r="L706"/>
      <c r="M706"/>
      <c r="N706"/>
      <c r="O706"/>
      <c r="P706"/>
    </row>
    <row r="707" spans="1:16" x14ac:dyDescent="0.2">
      <c r="A707"/>
      <c r="B707"/>
      <c r="C707"/>
      <c r="H707"/>
      <c r="I707"/>
      <c r="J707"/>
      <c r="K707"/>
      <c r="L707"/>
      <c r="M707"/>
      <c r="N707"/>
      <c r="O707"/>
      <c r="P707"/>
    </row>
    <row r="708" spans="1:16" x14ac:dyDescent="0.2">
      <c r="A708"/>
      <c r="B708"/>
      <c r="C708"/>
      <c r="H708"/>
      <c r="I708"/>
      <c r="J708"/>
      <c r="K708"/>
      <c r="L708"/>
      <c r="M708"/>
      <c r="N708"/>
      <c r="O708"/>
      <c r="P708"/>
    </row>
    <row r="709" spans="1:16" x14ac:dyDescent="0.2">
      <c r="A709"/>
      <c r="B709"/>
      <c r="C709"/>
      <c r="H709"/>
      <c r="I709"/>
      <c r="J709"/>
      <c r="K709"/>
      <c r="L709"/>
      <c r="M709"/>
      <c r="N709"/>
      <c r="O709"/>
      <c r="P709"/>
    </row>
    <row r="710" spans="1:16" x14ac:dyDescent="0.2">
      <c r="A710"/>
      <c r="B710"/>
      <c r="C710"/>
      <c r="H710"/>
      <c r="I710"/>
      <c r="J710"/>
      <c r="K710"/>
      <c r="L710"/>
      <c r="M710"/>
      <c r="N710"/>
      <c r="O710"/>
      <c r="P710"/>
    </row>
    <row r="711" spans="1:16" x14ac:dyDescent="0.2">
      <c r="A711"/>
      <c r="B711"/>
      <c r="C711"/>
      <c r="H711"/>
      <c r="I711"/>
      <c r="J711"/>
      <c r="K711"/>
      <c r="L711"/>
      <c r="M711"/>
      <c r="N711"/>
      <c r="O711"/>
      <c r="P711"/>
    </row>
    <row r="712" spans="1:16" x14ac:dyDescent="0.2">
      <c r="A712"/>
      <c r="B712"/>
      <c r="C712"/>
      <c r="H712"/>
      <c r="I712"/>
      <c r="J712"/>
      <c r="K712"/>
      <c r="L712"/>
      <c r="M712"/>
      <c r="N712"/>
      <c r="O712"/>
      <c r="P712"/>
    </row>
    <row r="713" spans="1:16" x14ac:dyDescent="0.2">
      <c r="A713"/>
      <c r="B713"/>
      <c r="C713"/>
      <c r="H713"/>
      <c r="I713"/>
      <c r="J713"/>
      <c r="K713"/>
      <c r="L713"/>
      <c r="M713"/>
      <c r="N713"/>
      <c r="O713"/>
      <c r="P713"/>
    </row>
    <row r="714" spans="1:16" x14ac:dyDescent="0.2">
      <c r="A714"/>
      <c r="B714"/>
      <c r="C714"/>
      <c r="H714"/>
      <c r="I714"/>
      <c r="J714"/>
      <c r="K714"/>
      <c r="L714"/>
      <c r="M714"/>
      <c r="N714"/>
      <c r="O714"/>
      <c r="P714"/>
    </row>
    <row r="715" spans="1:16" x14ac:dyDescent="0.2">
      <c r="A715"/>
      <c r="B715"/>
      <c r="C715"/>
      <c r="H715"/>
      <c r="I715"/>
      <c r="J715"/>
      <c r="K715"/>
      <c r="L715"/>
      <c r="M715"/>
      <c r="N715"/>
      <c r="O715"/>
      <c r="P715"/>
    </row>
    <row r="716" spans="1:16" ht="12" customHeight="1" x14ac:dyDescent="0.2">
      <c r="A716"/>
      <c r="B716"/>
      <c r="C716"/>
      <c r="H716"/>
      <c r="I716"/>
      <c r="J716"/>
      <c r="K716"/>
      <c r="L716"/>
      <c r="M716"/>
      <c r="N716"/>
      <c r="O716"/>
      <c r="P716"/>
    </row>
    <row r="717" spans="1:16" ht="12" customHeight="1" x14ac:dyDescent="0.2">
      <c r="A717"/>
      <c r="B717"/>
      <c r="C717"/>
      <c r="H717"/>
      <c r="I717"/>
      <c r="J717"/>
      <c r="K717"/>
      <c r="L717"/>
      <c r="M717"/>
      <c r="N717"/>
      <c r="O717"/>
      <c r="P717"/>
    </row>
    <row r="718" spans="1:16" ht="12" customHeight="1" x14ac:dyDescent="0.2">
      <c r="A718"/>
      <c r="B718"/>
      <c r="C718"/>
      <c r="H718"/>
      <c r="I718"/>
      <c r="J718"/>
      <c r="K718"/>
      <c r="L718"/>
      <c r="M718"/>
      <c r="N718"/>
      <c r="O718"/>
      <c r="P718"/>
    </row>
    <row r="719" spans="1:16" ht="12" customHeight="1" x14ac:dyDescent="0.2">
      <c r="A719"/>
      <c r="B719"/>
      <c r="C719"/>
      <c r="H719"/>
      <c r="I719"/>
      <c r="J719"/>
      <c r="K719"/>
      <c r="L719"/>
      <c r="M719"/>
      <c r="N719"/>
      <c r="O719"/>
      <c r="P719"/>
    </row>
    <row r="720" spans="1:16" ht="12" customHeight="1" x14ac:dyDescent="0.2">
      <c r="A720"/>
      <c r="B720"/>
      <c r="C720"/>
      <c r="H720"/>
      <c r="I720"/>
      <c r="J720"/>
      <c r="K720"/>
      <c r="L720"/>
      <c r="M720"/>
      <c r="N720"/>
      <c r="O720"/>
      <c r="P720"/>
    </row>
    <row r="721" spans="1:16" ht="12" customHeight="1" x14ac:dyDescent="0.2">
      <c r="A721"/>
      <c r="B721"/>
      <c r="C721"/>
      <c r="H721"/>
      <c r="I721"/>
      <c r="J721"/>
      <c r="K721"/>
      <c r="L721"/>
      <c r="M721"/>
      <c r="N721"/>
      <c r="O721"/>
      <c r="P721"/>
    </row>
    <row r="722" spans="1:16" ht="12" customHeight="1" x14ac:dyDescent="0.2">
      <c r="A722"/>
      <c r="B722"/>
      <c r="C722"/>
      <c r="H722"/>
      <c r="I722"/>
      <c r="J722"/>
      <c r="K722"/>
      <c r="L722"/>
      <c r="M722"/>
      <c r="N722"/>
      <c r="O722"/>
      <c r="P722"/>
    </row>
    <row r="723" spans="1:16" ht="12" customHeight="1" x14ac:dyDescent="0.2">
      <c r="A723"/>
      <c r="B723"/>
      <c r="C723"/>
      <c r="H723"/>
      <c r="I723"/>
      <c r="J723"/>
      <c r="K723"/>
      <c r="L723"/>
      <c r="M723"/>
      <c r="N723"/>
      <c r="O723"/>
      <c r="P723"/>
    </row>
    <row r="724" spans="1:16" x14ac:dyDescent="0.2">
      <c r="A724"/>
      <c r="B724"/>
      <c r="C724"/>
      <c r="H724"/>
      <c r="I724"/>
      <c r="J724"/>
      <c r="K724"/>
      <c r="L724"/>
      <c r="M724"/>
      <c r="N724"/>
      <c r="O724"/>
      <c r="P724"/>
    </row>
    <row r="725" spans="1:16" x14ac:dyDescent="0.2">
      <c r="A725"/>
      <c r="B725"/>
      <c r="C725"/>
      <c r="H725"/>
      <c r="I725"/>
      <c r="J725"/>
      <c r="K725"/>
      <c r="L725"/>
      <c r="M725"/>
      <c r="N725"/>
      <c r="O725"/>
      <c r="P725"/>
    </row>
    <row r="726" spans="1:16" x14ac:dyDescent="0.2">
      <c r="A726"/>
      <c r="B726"/>
      <c r="C726"/>
      <c r="H726"/>
      <c r="I726"/>
      <c r="J726"/>
      <c r="K726"/>
      <c r="L726"/>
      <c r="M726"/>
      <c r="N726"/>
      <c r="O726"/>
      <c r="P726"/>
    </row>
    <row r="727" spans="1:16" x14ac:dyDescent="0.2">
      <c r="A727"/>
      <c r="B727"/>
      <c r="C727"/>
      <c r="H727"/>
      <c r="I727"/>
      <c r="J727"/>
      <c r="K727"/>
      <c r="L727"/>
      <c r="M727"/>
      <c r="N727"/>
      <c r="O727"/>
      <c r="P727"/>
    </row>
    <row r="728" spans="1:16" x14ac:dyDescent="0.2">
      <c r="A728"/>
      <c r="B728"/>
      <c r="C728"/>
      <c r="H728"/>
      <c r="I728"/>
      <c r="J728"/>
      <c r="K728"/>
      <c r="L728"/>
      <c r="M728"/>
      <c r="N728"/>
      <c r="O728"/>
      <c r="P728"/>
    </row>
    <row r="729" spans="1:16" x14ac:dyDescent="0.2">
      <c r="A729"/>
      <c r="B729"/>
      <c r="C729"/>
      <c r="H729"/>
      <c r="I729"/>
      <c r="J729"/>
      <c r="K729"/>
      <c r="L729"/>
      <c r="M729"/>
      <c r="N729"/>
      <c r="O729"/>
      <c r="P729"/>
    </row>
    <row r="730" spans="1:16" x14ac:dyDescent="0.2">
      <c r="A730"/>
      <c r="B730"/>
      <c r="C730"/>
      <c r="H730"/>
      <c r="I730"/>
      <c r="J730"/>
      <c r="K730"/>
      <c r="L730"/>
      <c r="M730"/>
      <c r="N730"/>
      <c r="O730"/>
      <c r="P730"/>
    </row>
    <row r="731" spans="1:16" x14ac:dyDescent="0.2">
      <c r="A731"/>
      <c r="B731"/>
      <c r="C731"/>
      <c r="H731"/>
      <c r="I731"/>
      <c r="J731"/>
      <c r="K731"/>
      <c r="L731"/>
      <c r="M731"/>
      <c r="N731"/>
      <c r="O731"/>
      <c r="P731"/>
    </row>
    <row r="732" spans="1:16" x14ac:dyDescent="0.2">
      <c r="A732"/>
      <c r="B732"/>
      <c r="C732"/>
      <c r="H732"/>
      <c r="I732"/>
      <c r="J732"/>
      <c r="K732"/>
      <c r="L732"/>
      <c r="M732"/>
      <c r="N732"/>
      <c r="O732"/>
      <c r="P732"/>
    </row>
    <row r="733" spans="1:16" x14ac:dyDescent="0.2">
      <c r="A733"/>
      <c r="B733"/>
      <c r="C733"/>
      <c r="H733"/>
      <c r="I733"/>
      <c r="J733"/>
      <c r="K733"/>
      <c r="L733"/>
      <c r="M733"/>
      <c r="N733"/>
      <c r="O733"/>
      <c r="P733"/>
    </row>
    <row r="734" spans="1:16" x14ac:dyDescent="0.2">
      <c r="A734"/>
      <c r="B734"/>
      <c r="C734"/>
      <c r="H734"/>
      <c r="I734"/>
      <c r="J734"/>
      <c r="K734"/>
      <c r="L734"/>
      <c r="M734"/>
      <c r="N734"/>
      <c r="O734"/>
      <c r="P734"/>
    </row>
    <row r="735" spans="1:16" x14ac:dyDescent="0.2">
      <c r="A735"/>
      <c r="B735"/>
      <c r="C735"/>
      <c r="H735"/>
      <c r="I735"/>
      <c r="J735"/>
      <c r="K735"/>
      <c r="L735"/>
      <c r="M735"/>
      <c r="N735"/>
      <c r="O735"/>
      <c r="P735"/>
    </row>
    <row r="736" spans="1:16" x14ac:dyDescent="0.2">
      <c r="A736"/>
      <c r="B736"/>
      <c r="C736"/>
      <c r="H736"/>
      <c r="I736"/>
      <c r="J736"/>
      <c r="K736"/>
      <c r="L736"/>
      <c r="M736"/>
      <c r="N736"/>
      <c r="O736"/>
      <c r="P736"/>
    </row>
    <row r="737" spans="1:16" x14ac:dyDescent="0.2">
      <c r="A737"/>
      <c r="B737"/>
      <c r="C737"/>
      <c r="H737"/>
      <c r="I737"/>
      <c r="J737"/>
      <c r="K737"/>
      <c r="L737"/>
      <c r="M737"/>
      <c r="N737"/>
      <c r="O737"/>
      <c r="P737"/>
    </row>
    <row r="738" spans="1:16" ht="12" customHeight="1" x14ac:dyDescent="0.2">
      <c r="A738"/>
      <c r="B738"/>
      <c r="C738"/>
      <c r="H738"/>
      <c r="I738"/>
      <c r="J738"/>
      <c r="K738"/>
      <c r="L738"/>
      <c r="M738"/>
      <c r="N738"/>
      <c r="O738"/>
      <c r="P738"/>
    </row>
    <row r="739" spans="1:16" ht="12" customHeight="1" x14ac:dyDescent="0.2">
      <c r="A739"/>
      <c r="B739"/>
      <c r="C739"/>
      <c r="H739"/>
      <c r="I739"/>
      <c r="J739"/>
      <c r="K739"/>
      <c r="L739"/>
      <c r="M739"/>
      <c r="N739"/>
      <c r="O739"/>
      <c r="P739"/>
    </row>
    <row r="740" spans="1:16" ht="12" customHeight="1" x14ac:dyDescent="0.2">
      <c r="A740"/>
      <c r="B740"/>
      <c r="C740"/>
      <c r="H740"/>
      <c r="I740"/>
      <c r="J740"/>
      <c r="K740"/>
      <c r="L740"/>
      <c r="M740"/>
      <c r="N740"/>
      <c r="O740"/>
      <c r="P740"/>
    </row>
    <row r="741" spans="1:16" ht="12" customHeight="1" x14ac:dyDescent="0.2">
      <c r="A741"/>
      <c r="B741"/>
      <c r="C741"/>
      <c r="H741"/>
      <c r="I741"/>
      <c r="J741"/>
      <c r="K741"/>
      <c r="L741"/>
      <c r="M741"/>
      <c r="N741"/>
      <c r="O741"/>
      <c r="P741"/>
    </row>
    <row r="742" spans="1:16" ht="12" customHeight="1" x14ac:dyDescent="0.2">
      <c r="A742"/>
      <c r="B742"/>
      <c r="C742"/>
      <c r="H742"/>
      <c r="I742"/>
      <c r="J742"/>
      <c r="K742"/>
      <c r="L742"/>
      <c r="M742"/>
      <c r="N742"/>
      <c r="O742"/>
      <c r="P742"/>
    </row>
    <row r="743" spans="1:16" ht="12" customHeight="1" x14ac:dyDescent="0.2">
      <c r="A743"/>
      <c r="B743"/>
      <c r="C743"/>
      <c r="H743"/>
      <c r="I743"/>
      <c r="J743"/>
      <c r="K743"/>
      <c r="L743"/>
      <c r="M743"/>
      <c r="N743"/>
      <c r="O743"/>
      <c r="P743"/>
    </row>
    <row r="744" spans="1:16" ht="12.75" customHeight="1" x14ac:dyDescent="0.2">
      <c r="A744"/>
      <c r="B744"/>
      <c r="C744"/>
      <c r="H744"/>
      <c r="I744"/>
      <c r="J744"/>
      <c r="K744"/>
      <c r="L744"/>
      <c r="M744"/>
      <c r="N744"/>
      <c r="O744"/>
      <c r="P744"/>
    </row>
    <row r="745" spans="1:16" x14ac:dyDescent="0.2">
      <c r="A745"/>
      <c r="B745"/>
      <c r="C745"/>
      <c r="H745"/>
      <c r="I745"/>
      <c r="J745"/>
      <c r="K745"/>
      <c r="L745"/>
      <c r="M745"/>
      <c r="N745"/>
      <c r="O745"/>
      <c r="P745"/>
    </row>
    <row r="746" spans="1:16" x14ac:dyDescent="0.2">
      <c r="A746"/>
      <c r="B746"/>
      <c r="C746"/>
      <c r="H746"/>
      <c r="I746"/>
      <c r="J746"/>
      <c r="K746"/>
      <c r="L746"/>
      <c r="M746"/>
      <c r="N746"/>
      <c r="O746"/>
      <c r="P746"/>
    </row>
    <row r="747" spans="1:16" x14ac:dyDescent="0.2">
      <c r="A747"/>
      <c r="B747"/>
      <c r="C747"/>
      <c r="H747"/>
      <c r="I747"/>
      <c r="J747"/>
      <c r="K747"/>
      <c r="L747"/>
      <c r="M747"/>
      <c r="N747"/>
      <c r="O747"/>
      <c r="P747"/>
    </row>
    <row r="748" spans="1:16" x14ac:dyDescent="0.2">
      <c r="A748"/>
      <c r="B748"/>
      <c r="C748"/>
      <c r="H748"/>
      <c r="I748"/>
      <c r="J748"/>
      <c r="K748"/>
      <c r="L748"/>
      <c r="M748"/>
      <c r="N748"/>
      <c r="O748"/>
      <c r="P748"/>
    </row>
    <row r="749" spans="1:16" x14ac:dyDescent="0.2">
      <c r="A749"/>
      <c r="B749"/>
      <c r="C749"/>
      <c r="H749"/>
      <c r="I749"/>
      <c r="J749"/>
      <c r="K749"/>
      <c r="L749"/>
      <c r="M749"/>
      <c r="N749"/>
      <c r="O749"/>
      <c r="P749"/>
    </row>
    <row r="750" spans="1:16" x14ac:dyDescent="0.2">
      <c r="A750"/>
      <c r="B750"/>
      <c r="C750"/>
      <c r="H750"/>
      <c r="I750"/>
      <c r="J750"/>
      <c r="K750"/>
      <c r="L750"/>
      <c r="M750"/>
      <c r="N750"/>
      <c r="O750"/>
      <c r="P750"/>
    </row>
    <row r="751" spans="1:16" x14ac:dyDescent="0.2">
      <c r="A751"/>
      <c r="B751"/>
      <c r="C751"/>
      <c r="H751"/>
      <c r="I751"/>
      <c r="J751"/>
      <c r="K751"/>
      <c r="L751"/>
      <c r="M751"/>
      <c r="N751"/>
      <c r="O751"/>
      <c r="P751"/>
    </row>
    <row r="752" spans="1:16" x14ac:dyDescent="0.2">
      <c r="A752"/>
      <c r="B752"/>
      <c r="C752"/>
      <c r="H752"/>
      <c r="I752"/>
      <c r="J752"/>
      <c r="K752"/>
      <c r="L752"/>
      <c r="M752"/>
      <c r="N752"/>
      <c r="O752"/>
      <c r="P752"/>
    </row>
    <row r="753" spans="1:16" x14ac:dyDescent="0.2">
      <c r="A753"/>
      <c r="B753"/>
      <c r="C753"/>
      <c r="H753"/>
      <c r="I753"/>
      <c r="J753"/>
      <c r="K753"/>
      <c r="L753"/>
      <c r="M753"/>
      <c r="N753"/>
      <c r="O753"/>
      <c r="P753"/>
    </row>
    <row r="754" spans="1:16" x14ac:dyDescent="0.2">
      <c r="A754"/>
      <c r="B754"/>
      <c r="C754"/>
      <c r="H754"/>
      <c r="I754"/>
      <c r="J754"/>
      <c r="K754"/>
      <c r="L754"/>
      <c r="M754"/>
      <c r="N754"/>
      <c r="O754"/>
      <c r="P754"/>
    </row>
    <row r="755" spans="1:16" ht="12" customHeight="1" x14ac:dyDescent="0.2">
      <c r="A755"/>
      <c r="B755"/>
      <c r="C755"/>
      <c r="H755"/>
      <c r="I755"/>
      <c r="J755"/>
      <c r="K755"/>
      <c r="L755"/>
      <c r="M755"/>
      <c r="N755"/>
      <c r="O755"/>
      <c r="P755"/>
    </row>
    <row r="756" spans="1:16" ht="12" customHeight="1" x14ac:dyDescent="0.2">
      <c r="A756"/>
      <c r="B756"/>
      <c r="C756"/>
      <c r="H756"/>
      <c r="I756"/>
      <c r="J756"/>
      <c r="K756"/>
      <c r="L756"/>
      <c r="M756"/>
      <c r="N756"/>
      <c r="O756"/>
      <c r="P756"/>
    </row>
    <row r="757" spans="1:16" ht="12" customHeight="1" x14ac:dyDescent="0.2">
      <c r="A757"/>
      <c r="B757"/>
      <c r="C757"/>
      <c r="H757"/>
      <c r="I757"/>
      <c r="J757"/>
      <c r="K757"/>
      <c r="L757"/>
      <c r="M757"/>
      <c r="N757"/>
      <c r="O757"/>
      <c r="P757"/>
    </row>
    <row r="758" spans="1:16" ht="12" customHeight="1" x14ac:dyDescent="0.2">
      <c r="A758"/>
      <c r="B758"/>
      <c r="C758"/>
      <c r="H758"/>
      <c r="I758"/>
      <c r="J758"/>
      <c r="K758"/>
      <c r="L758"/>
      <c r="M758"/>
      <c r="N758"/>
      <c r="O758"/>
      <c r="P758"/>
    </row>
    <row r="759" spans="1:16" ht="12" customHeight="1" x14ac:dyDescent="0.2">
      <c r="A759"/>
      <c r="B759"/>
      <c r="C759"/>
      <c r="H759"/>
      <c r="I759"/>
      <c r="J759"/>
      <c r="K759"/>
      <c r="L759"/>
      <c r="M759"/>
      <c r="N759"/>
      <c r="O759"/>
      <c r="P759"/>
    </row>
    <row r="760" spans="1:16" ht="12" customHeight="1" x14ac:dyDescent="0.2">
      <c r="A760"/>
      <c r="B760"/>
      <c r="C760"/>
      <c r="H760"/>
      <c r="I760"/>
      <c r="J760"/>
      <c r="K760"/>
      <c r="L760"/>
      <c r="M760"/>
      <c r="N760"/>
      <c r="O760"/>
      <c r="P760"/>
    </row>
    <row r="761" spans="1:16" ht="12" customHeight="1" x14ac:dyDescent="0.2">
      <c r="A761"/>
      <c r="B761"/>
      <c r="C761"/>
      <c r="H761"/>
      <c r="I761"/>
      <c r="J761"/>
      <c r="K761"/>
      <c r="L761"/>
      <c r="M761"/>
      <c r="N761"/>
      <c r="O761"/>
      <c r="P761"/>
    </row>
    <row r="762" spans="1:16" x14ac:dyDescent="0.2">
      <c r="A762"/>
      <c r="B762"/>
      <c r="C762"/>
      <c r="H762"/>
      <c r="I762"/>
      <c r="J762"/>
      <c r="K762"/>
      <c r="L762"/>
      <c r="M762"/>
      <c r="N762"/>
      <c r="O762"/>
      <c r="P762"/>
    </row>
    <row r="763" spans="1:16" x14ac:dyDescent="0.2">
      <c r="A763"/>
      <c r="B763"/>
      <c r="C763"/>
      <c r="H763"/>
      <c r="I763"/>
      <c r="J763"/>
      <c r="K763"/>
      <c r="L763"/>
      <c r="M763"/>
      <c r="N763"/>
      <c r="O763"/>
      <c r="P763"/>
    </row>
    <row r="764" spans="1:16" x14ac:dyDescent="0.2">
      <c r="A764"/>
      <c r="B764"/>
      <c r="C764"/>
      <c r="H764"/>
      <c r="I764"/>
      <c r="J764"/>
      <c r="K764"/>
      <c r="L764"/>
      <c r="M764"/>
      <c r="N764"/>
      <c r="O764"/>
      <c r="P764"/>
    </row>
    <row r="765" spans="1:16" x14ac:dyDescent="0.2">
      <c r="A765"/>
      <c r="B765"/>
      <c r="C765"/>
      <c r="H765"/>
      <c r="I765"/>
      <c r="J765"/>
      <c r="K765"/>
      <c r="L765"/>
      <c r="M765"/>
      <c r="N765"/>
      <c r="O765"/>
      <c r="P765"/>
    </row>
    <row r="766" spans="1:16" x14ac:dyDescent="0.2">
      <c r="A766"/>
      <c r="B766"/>
      <c r="C766"/>
      <c r="H766"/>
      <c r="I766"/>
      <c r="J766"/>
      <c r="K766"/>
      <c r="L766"/>
      <c r="M766"/>
      <c r="N766"/>
      <c r="O766"/>
      <c r="P766"/>
    </row>
    <row r="767" spans="1:16" x14ac:dyDescent="0.2">
      <c r="A767"/>
      <c r="B767"/>
      <c r="C767"/>
      <c r="H767"/>
      <c r="I767"/>
      <c r="J767"/>
      <c r="K767"/>
      <c r="L767"/>
      <c r="M767"/>
      <c r="N767"/>
      <c r="O767"/>
      <c r="P767"/>
    </row>
    <row r="768" spans="1:16" x14ac:dyDescent="0.2">
      <c r="A768"/>
      <c r="B768"/>
      <c r="C768"/>
      <c r="H768"/>
      <c r="I768"/>
      <c r="J768"/>
      <c r="K768"/>
      <c r="L768"/>
      <c r="M768"/>
      <c r="N768"/>
      <c r="O768"/>
      <c r="P768"/>
    </row>
    <row r="769" spans="1:16" x14ac:dyDescent="0.2">
      <c r="A769"/>
      <c r="B769"/>
      <c r="C769"/>
      <c r="H769"/>
      <c r="I769"/>
      <c r="J769"/>
      <c r="K769"/>
      <c r="L769"/>
      <c r="M769"/>
      <c r="N769"/>
      <c r="O769"/>
      <c r="P769"/>
    </row>
    <row r="770" spans="1:16" x14ac:dyDescent="0.2">
      <c r="A770"/>
      <c r="B770"/>
      <c r="C770"/>
      <c r="H770"/>
      <c r="I770"/>
      <c r="J770"/>
      <c r="K770"/>
      <c r="L770"/>
      <c r="M770"/>
      <c r="N770"/>
      <c r="O770"/>
      <c r="P770"/>
    </row>
    <row r="771" spans="1:16" x14ac:dyDescent="0.2">
      <c r="A771"/>
      <c r="B771"/>
      <c r="C771"/>
      <c r="H771"/>
      <c r="I771"/>
      <c r="J771"/>
      <c r="K771"/>
      <c r="L771"/>
      <c r="M771"/>
      <c r="N771"/>
      <c r="O771"/>
      <c r="P771"/>
    </row>
    <row r="772" spans="1:16" x14ac:dyDescent="0.2">
      <c r="A772"/>
      <c r="B772"/>
      <c r="C772"/>
      <c r="H772"/>
      <c r="I772"/>
      <c r="J772"/>
      <c r="K772"/>
      <c r="L772"/>
      <c r="M772"/>
      <c r="N772"/>
      <c r="O772"/>
      <c r="P772"/>
    </row>
    <row r="773" spans="1:16" x14ac:dyDescent="0.2">
      <c r="A773"/>
      <c r="B773"/>
      <c r="C773"/>
      <c r="H773"/>
      <c r="I773"/>
      <c r="J773"/>
      <c r="K773"/>
      <c r="L773"/>
      <c r="M773"/>
      <c r="N773"/>
      <c r="O773"/>
      <c r="P773"/>
    </row>
    <row r="774" spans="1:16" ht="12" customHeight="1" x14ac:dyDescent="0.2">
      <c r="A774"/>
      <c r="B774"/>
      <c r="C774"/>
      <c r="H774"/>
      <c r="I774"/>
      <c r="J774"/>
      <c r="K774"/>
      <c r="L774"/>
      <c r="M774"/>
      <c r="N774"/>
      <c r="O774"/>
      <c r="P774"/>
    </row>
    <row r="775" spans="1:16" ht="12" customHeight="1" x14ac:dyDescent="0.2">
      <c r="A775"/>
      <c r="B775"/>
      <c r="C775"/>
      <c r="H775"/>
      <c r="I775"/>
      <c r="J775"/>
      <c r="K775"/>
      <c r="L775"/>
      <c r="M775"/>
      <c r="N775"/>
      <c r="O775"/>
      <c r="P775"/>
    </row>
    <row r="776" spans="1:16" ht="12" customHeight="1" x14ac:dyDescent="0.2">
      <c r="A776"/>
      <c r="B776"/>
      <c r="C776"/>
      <c r="H776"/>
      <c r="I776"/>
      <c r="J776"/>
      <c r="K776"/>
      <c r="L776"/>
      <c r="M776"/>
      <c r="N776"/>
      <c r="O776"/>
      <c r="P776"/>
    </row>
    <row r="777" spans="1:16" ht="12" customHeight="1" x14ac:dyDescent="0.2">
      <c r="A777"/>
      <c r="B777"/>
      <c r="C777"/>
      <c r="H777"/>
      <c r="I777"/>
      <c r="J777"/>
      <c r="K777"/>
      <c r="L777"/>
      <c r="M777"/>
      <c r="N777"/>
      <c r="O777"/>
      <c r="P777"/>
    </row>
    <row r="778" spans="1:16" ht="12" customHeight="1" x14ac:dyDescent="0.2">
      <c r="A778"/>
      <c r="B778"/>
      <c r="C778"/>
      <c r="H778"/>
      <c r="I778"/>
      <c r="J778"/>
      <c r="K778"/>
      <c r="L778"/>
      <c r="M778"/>
      <c r="N778"/>
      <c r="O778"/>
      <c r="P778"/>
    </row>
    <row r="779" spans="1:16" ht="12" customHeight="1" x14ac:dyDescent="0.2">
      <c r="A779"/>
      <c r="B779"/>
      <c r="C779"/>
      <c r="H779"/>
      <c r="I779"/>
      <c r="J779"/>
      <c r="K779"/>
      <c r="L779"/>
      <c r="M779"/>
      <c r="N779"/>
      <c r="O779"/>
      <c r="P779"/>
    </row>
    <row r="780" spans="1:16" x14ac:dyDescent="0.2">
      <c r="A780"/>
      <c r="B780"/>
      <c r="C780"/>
      <c r="H780"/>
      <c r="I780"/>
      <c r="J780"/>
      <c r="K780"/>
      <c r="L780"/>
      <c r="M780"/>
      <c r="N780"/>
      <c r="O780"/>
      <c r="P780"/>
    </row>
    <row r="781" spans="1:16" x14ac:dyDescent="0.2">
      <c r="A781"/>
      <c r="B781"/>
      <c r="C781"/>
      <c r="H781"/>
      <c r="I781"/>
      <c r="J781"/>
      <c r="K781"/>
      <c r="L781"/>
      <c r="M781"/>
      <c r="N781"/>
      <c r="O781"/>
      <c r="P781"/>
    </row>
    <row r="782" spans="1:16" x14ac:dyDescent="0.2">
      <c r="A782"/>
      <c r="B782"/>
      <c r="C782"/>
      <c r="H782"/>
      <c r="I782"/>
      <c r="J782"/>
      <c r="K782"/>
      <c r="L782"/>
      <c r="M782"/>
      <c r="N782"/>
      <c r="O782"/>
      <c r="P782"/>
    </row>
    <row r="783" spans="1:16" x14ac:dyDescent="0.2">
      <c r="A783"/>
      <c r="B783"/>
      <c r="C783"/>
      <c r="H783"/>
      <c r="I783"/>
      <c r="J783"/>
      <c r="K783"/>
      <c r="L783"/>
      <c r="M783"/>
      <c r="N783"/>
      <c r="O783"/>
      <c r="P783"/>
    </row>
    <row r="784" spans="1:16" x14ac:dyDescent="0.2">
      <c r="A784"/>
      <c r="B784"/>
      <c r="C784"/>
      <c r="H784"/>
      <c r="I784"/>
      <c r="J784"/>
      <c r="K784"/>
      <c r="L784"/>
      <c r="M784"/>
      <c r="N784"/>
      <c r="O784"/>
      <c r="P784"/>
    </row>
    <row r="785" spans="1:16" x14ac:dyDescent="0.2">
      <c r="A785"/>
      <c r="B785"/>
      <c r="C785"/>
      <c r="H785"/>
      <c r="I785"/>
      <c r="J785"/>
      <c r="K785"/>
      <c r="L785"/>
      <c r="M785"/>
      <c r="N785"/>
      <c r="O785"/>
      <c r="P785"/>
    </row>
    <row r="786" spans="1:16" x14ac:dyDescent="0.2">
      <c r="A786"/>
      <c r="B786"/>
      <c r="C786"/>
      <c r="H786"/>
      <c r="I786"/>
      <c r="J786"/>
      <c r="K786"/>
      <c r="L786"/>
      <c r="M786"/>
      <c r="N786"/>
      <c r="O786"/>
      <c r="P786"/>
    </row>
    <row r="787" spans="1:16" x14ac:dyDescent="0.2">
      <c r="A787"/>
      <c r="B787"/>
      <c r="C787"/>
      <c r="H787"/>
      <c r="I787"/>
      <c r="J787"/>
      <c r="K787"/>
      <c r="L787"/>
      <c r="M787"/>
      <c r="N787"/>
      <c r="O787"/>
      <c r="P787"/>
    </row>
    <row r="788" spans="1:16" x14ac:dyDescent="0.2">
      <c r="A788"/>
      <c r="B788"/>
      <c r="C788"/>
      <c r="H788"/>
      <c r="I788"/>
      <c r="J788"/>
      <c r="K788"/>
      <c r="L788"/>
      <c r="M788"/>
      <c r="N788"/>
      <c r="O788"/>
      <c r="P788"/>
    </row>
    <row r="789" spans="1:16" x14ac:dyDescent="0.2">
      <c r="A789"/>
      <c r="B789"/>
      <c r="C789"/>
      <c r="H789"/>
      <c r="I789"/>
      <c r="J789"/>
      <c r="K789"/>
      <c r="L789"/>
      <c r="M789"/>
      <c r="N789"/>
      <c r="O789"/>
      <c r="P789"/>
    </row>
    <row r="790" spans="1:16" x14ac:dyDescent="0.2">
      <c r="A790"/>
      <c r="B790"/>
      <c r="C790"/>
      <c r="H790"/>
      <c r="I790"/>
      <c r="J790"/>
      <c r="K790"/>
      <c r="L790"/>
      <c r="M790"/>
      <c r="N790"/>
      <c r="O790"/>
      <c r="P790"/>
    </row>
    <row r="791" spans="1:16" x14ac:dyDescent="0.2">
      <c r="A791"/>
      <c r="B791"/>
      <c r="C791"/>
      <c r="H791"/>
      <c r="I791"/>
      <c r="J791"/>
      <c r="K791"/>
      <c r="L791"/>
      <c r="M791"/>
      <c r="N791"/>
      <c r="O791"/>
      <c r="P791"/>
    </row>
    <row r="792" spans="1:16" x14ac:dyDescent="0.2">
      <c r="A792"/>
      <c r="B792"/>
      <c r="C792"/>
      <c r="H792"/>
      <c r="I792"/>
      <c r="J792"/>
      <c r="K792"/>
      <c r="L792"/>
      <c r="M792"/>
      <c r="N792"/>
      <c r="O792"/>
      <c r="P792"/>
    </row>
    <row r="793" spans="1:16" x14ac:dyDescent="0.2">
      <c r="A793"/>
      <c r="B793"/>
      <c r="C793"/>
      <c r="H793"/>
      <c r="I793"/>
      <c r="J793"/>
      <c r="K793"/>
      <c r="L793"/>
      <c r="M793"/>
      <c r="N793"/>
      <c r="O793"/>
      <c r="P793"/>
    </row>
    <row r="794" spans="1:16" ht="12" customHeight="1" x14ac:dyDescent="0.2">
      <c r="A794"/>
      <c r="B794"/>
      <c r="C794"/>
      <c r="H794"/>
      <c r="I794"/>
      <c r="J794"/>
      <c r="K794"/>
      <c r="L794"/>
      <c r="M794"/>
      <c r="N794"/>
      <c r="O794"/>
      <c r="P794"/>
    </row>
    <row r="795" spans="1:16" ht="12" customHeight="1" x14ac:dyDescent="0.2">
      <c r="A795"/>
      <c r="B795"/>
      <c r="C795"/>
      <c r="H795"/>
      <c r="I795"/>
      <c r="J795"/>
      <c r="K795"/>
      <c r="L795"/>
      <c r="M795"/>
      <c r="N795"/>
      <c r="O795"/>
      <c r="P795"/>
    </row>
    <row r="796" spans="1:16" ht="12" customHeight="1" x14ac:dyDescent="0.2">
      <c r="A796"/>
      <c r="B796"/>
      <c r="C796"/>
      <c r="H796"/>
      <c r="I796"/>
      <c r="J796"/>
      <c r="K796"/>
      <c r="L796"/>
      <c r="M796"/>
      <c r="N796"/>
      <c r="O796"/>
      <c r="P796"/>
    </row>
    <row r="797" spans="1:16" ht="12" customHeight="1" x14ac:dyDescent="0.2">
      <c r="A797"/>
      <c r="B797"/>
      <c r="C797"/>
      <c r="H797"/>
      <c r="I797"/>
      <c r="J797"/>
      <c r="K797"/>
      <c r="L797"/>
      <c r="M797"/>
      <c r="N797"/>
      <c r="O797"/>
      <c r="P797"/>
    </row>
    <row r="798" spans="1:16" ht="12" customHeight="1" x14ac:dyDescent="0.2">
      <c r="A798"/>
      <c r="B798"/>
      <c r="C798"/>
      <c r="H798"/>
      <c r="I798"/>
      <c r="J798"/>
      <c r="K798"/>
      <c r="L798"/>
      <c r="M798"/>
      <c r="N798"/>
      <c r="O798"/>
      <c r="P798"/>
    </row>
    <row r="799" spans="1:16" ht="12" customHeight="1" x14ac:dyDescent="0.2">
      <c r="A799"/>
      <c r="B799"/>
      <c r="C799"/>
      <c r="H799"/>
      <c r="I799"/>
      <c r="J799"/>
      <c r="K799"/>
      <c r="L799"/>
      <c r="M799"/>
      <c r="N799"/>
      <c r="O799"/>
      <c r="P799"/>
    </row>
    <row r="800" spans="1:16" ht="12" customHeight="1" x14ac:dyDescent="0.2">
      <c r="A800"/>
      <c r="B800"/>
      <c r="C800"/>
      <c r="H800"/>
      <c r="I800"/>
      <c r="J800"/>
      <c r="K800"/>
      <c r="L800"/>
      <c r="M800"/>
      <c r="N800"/>
      <c r="O800"/>
      <c r="P800"/>
    </row>
    <row r="801" spans="1:16" x14ac:dyDescent="0.2">
      <c r="A801"/>
      <c r="B801"/>
      <c r="C801"/>
      <c r="H801"/>
      <c r="I801"/>
      <c r="J801"/>
      <c r="K801"/>
      <c r="L801"/>
      <c r="M801"/>
      <c r="N801"/>
      <c r="O801"/>
      <c r="P801"/>
    </row>
    <row r="802" spans="1:16" x14ac:dyDescent="0.2">
      <c r="A802"/>
      <c r="B802"/>
      <c r="C802"/>
      <c r="H802"/>
      <c r="I802"/>
      <c r="J802"/>
      <c r="K802"/>
      <c r="L802"/>
      <c r="M802"/>
      <c r="N802"/>
      <c r="O802"/>
      <c r="P802"/>
    </row>
    <row r="803" spans="1:16" x14ac:dyDescent="0.2">
      <c r="A803"/>
      <c r="B803"/>
      <c r="C803"/>
      <c r="H803"/>
      <c r="I803"/>
      <c r="J803"/>
      <c r="K803"/>
      <c r="L803"/>
      <c r="M803"/>
      <c r="N803"/>
      <c r="O803"/>
      <c r="P803"/>
    </row>
    <row r="804" spans="1:16" ht="12" customHeight="1" x14ac:dyDescent="0.2">
      <c r="A804"/>
      <c r="B804"/>
      <c r="C804"/>
      <c r="H804"/>
      <c r="I804"/>
      <c r="J804"/>
      <c r="K804"/>
      <c r="L804"/>
      <c r="M804"/>
      <c r="N804"/>
      <c r="O804"/>
      <c r="P804"/>
    </row>
    <row r="805" spans="1:16" ht="12" customHeight="1" x14ac:dyDescent="0.2">
      <c r="A805"/>
      <c r="B805"/>
      <c r="C805"/>
      <c r="H805"/>
      <c r="I805"/>
      <c r="J805"/>
      <c r="K805"/>
      <c r="L805"/>
      <c r="M805"/>
      <c r="N805"/>
      <c r="O805"/>
      <c r="P805"/>
    </row>
    <row r="806" spans="1:16" ht="12" customHeight="1" x14ac:dyDescent="0.2">
      <c r="A806"/>
      <c r="B806"/>
      <c r="C806"/>
      <c r="H806"/>
      <c r="I806"/>
      <c r="J806"/>
      <c r="K806"/>
      <c r="L806"/>
      <c r="M806"/>
      <c r="N806"/>
      <c r="O806"/>
      <c r="P806"/>
    </row>
    <row r="807" spans="1:16" ht="12" customHeight="1" x14ac:dyDescent="0.2">
      <c r="A807"/>
      <c r="B807"/>
      <c r="C807"/>
      <c r="H807"/>
      <c r="I807"/>
      <c r="J807"/>
      <c r="K807"/>
      <c r="L807"/>
      <c r="M807"/>
      <c r="N807"/>
      <c r="O807"/>
      <c r="P807"/>
    </row>
    <row r="808" spans="1:16" ht="12" customHeight="1" x14ac:dyDescent="0.2">
      <c r="A808"/>
      <c r="B808"/>
      <c r="C808"/>
      <c r="H808"/>
      <c r="I808"/>
      <c r="J808"/>
      <c r="K808"/>
      <c r="L808"/>
      <c r="M808"/>
      <c r="N808"/>
      <c r="O808"/>
      <c r="P808"/>
    </row>
    <row r="809" spans="1:16" ht="12" customHeight="1" x14ac:dyDescent="0.2">
      <c r="A809"/>
      <c r="B809"/>
      <c r="C809"/>
      <c r="H809"/>
      <c r="I809"/>
      <c r="J809"/>
      <c r="K809"/>
      <c r="L809"/>
      <c r="M809"/>
      <c r="N809"/>
      <c r="O809"/>
      <c r="P809"/>
    </row>
    <row r="810" spans="1:16" ht="12" customHeight="1" x14ac:dyDescent="0.2">
      <c r="A810"/>
      <c r="B810"/>
      <c r="C810"/>
      <c r="H810"/>
      <c r="I810"/>
      <c r="J810"/>
      <c r="K810"/>
      <c r="L810"/>
      <c r="M810"/>
      <c r="N810"/>
      <c r="O810"/>
      <c r="P810"/>
    </row>
    <row r="811" spans="1:16" x14ac:dyDescent="0.2">
      <c r="A811"/>
      <c r="B811"/>
      <c r="C811"/>
      <c r="H811"/>
      <c r="I811"/>
      <c r="J811"/>
      <c r="K811"/>
      <c r="L811"/>
      <c r="M811"/>
      <c r="N811"/>
      <c r="O811"/>
      <c r="P811"/>
    </row>
    <row r="812" spans="1:16" ht="15" customHeight="1" x14ac:dyDescent="0.2">
      <c r="A812"/>
      <c r="B812"/>
      <c r="C812"/>
      <c r="H812"/>
      <c r="I812"/>
      <c r="J812"/>
      <c r="K812"/>
      <c r="L812"/>
      <c r="M812"/>
      <c r="N812"/>
      <c r="O812"/>
      <c r="P812"/>
    </row>
    <row r="813" spans="1:16" x14ac:dyDescent="0.2">
      <c r="A813"/>
      <c r="B813"/>
      <c r="C813"/>
      <c r="H813"/>
      <c r="I813"/>
      <c r="J813"/>
      <c r="K813"/>
      <c r="L813"/>
      <c r="M813"/>
      <c r="N813"/>
      <c r="O813"/>
      <c r="P813"/>
    </row>
    <row r="814" spans="1:16" ht="15" customHeight="1" x14ac:dyDescent="0.2">
      <c r="A814"/>
      <c r="B814"/>
      <c r="C814"/>
      <c r="H814"/>
      <c r="I814"/>
      <c r="J814"/>
      <c r="K814"/>
      <c r="L814"/>
      <c r="M814"/>
      <c r="N814"/>
      <c r="O814"/>
      <c r="P814"/>
    </row>
    <row r="815" spans="1:16" ht="12" customHeight="1" x14ac:dyDescent="0.2">
      <c r="A815"/>
      <c r="B815"/>
      <c r="C815"/>
      <c r="H815"/>
      <c r="I815"/>
      <c r="J815"/>
      <c r="K815"/>
      <c r="L815"/>
      <c r="M815"/>
      <c r="N815"/>
      <c r="O815"/>
      <c r="P815"/>
    </row>
    <row r="816" spans="1:16" ht="12" customHeight="1" x14ac:dyDescent="0.2">
      <c r="A816"/>
      <c r="B816"/>
      <c r="C816"/>
      <c r="H816"/>
      <c r="I816"/>
      <c r="J816"/>
      <c r="K816"/>
      <c r="L816"/>
      <c r="M816"/>
      <c r="N816"/>
      <c r="O816"/>
      <c r="P816"/>
    </row>
    <row r="817" spans="1:16" x14ac:dyDescent="0.2">
      <c r="A817"/>
      <c r="B817"/>
      <c r="C817"/>
      <c r="H817"/>
      <c r="I817"/>
      <c r="J817"/>
      <c r="K817"/>
      <c r="L817"/>
      <c r="M817"/>
      <c r="N817"/>
      <c r="O817"/>
      <c r="P817"/>
    </row>
    <row r="818" spans="1:16" ht="12" customHeight="1" x14ac:dyDescent="0.2">
      <c r="A818"/>
      <c r="B818"/>
      <c r="C818"/>
      <c r="H818"/>
      <c r="I818"/>
      <c r="J818"/>
      <c r="K818"/>
      <c r="L818"/>
      <c r="M818"/>
      <c r="N818"/>
      <c r="O818"/>
      <c r="P818"/>
    </row>
    <row r="819" spans="1:16" ht="12" customHeight="1" x14ac:dyDescent="0.2">
      <c r="A819"/>
      <c r="B819"/>
      <c r="C819"/>
      <c r="H819"/>
      <c r="I819"/>
      <c r="J819"/>
      <c r="K819"/>
      <c r="L819"/>
      <c r="M819"/>
      <c r="N819"/>
      <c r="O819"/>
      <c r="P819"/>
    </row>
    <row r="820" spans="1:16" x14ac:dyDescent="0.2">
      <c r="A820"/>
      <c r="B820"/>
      <c r="C820"/>
      <c r="H820"/>
      <c r="I820"/>
      <c r="J820"/>
      <c r="K820"/>
      <c r="L820"/>
      <c r="M820"/>
      <c r="N820"/>
      <c r="O820"/>
      <c r="P820"/>
    </row>
    <row r="821" spans="1:16" ht="12" customHeight="1" x14ac:dyDescent="0.2">
      <c r="A821"/>
      <c r="B821"/>
      <c r="C821"/>
      <c r="H821"/>
      <c r="I821"/>
      <c r="J821"/>
      <c r="K821"/>
      <c r="L821"/>
      <c r="M821"/>
      <c r="N821"/>
      <c r="O821"/>
      <c r="P821"/>
    </row>
    <row r="822" spans="1:16" ht="12" customHeight="1" x14ac:dyDescent="0.2">
      <c r="A822"/>
      <c r="B822"/>
      <c r="C822"/>
      <c r="H822"/>
      <c r="I822"/>
      <c r="J822"/>
      <c r="K822"/>
      <c r="L822"/>
      <c r="M822"/>
      <c r="N822"/>
      <c r="O822"/>
      <c r="P822"/>
    </row>
    <row r="823" spans="1:16" ht="12" customHeight="1" x14ac:dyDescent="0.2">
      <c r="A823"/>
      <c r="B823"/>
      <c r="C823"/>
      <c r="H823"/>
      <c r="I823"/>
      <c r="J823"/>
      <c r="K823"/>
      <c r="L823"/>
      <c r="M823"/>
      <c r="N823"/>
      <c r="O823"/>
      <c r="P823"/>
    </row>
    <row r="824" spans="1:16" ht="12" customHeight="1" x14ac:dyDescent="0.2">
      <c r="A824"/>
      <c r="B824"/>
      <c r="C824"/>
      <c r="H824"/>
      <c r="I824"/>
      <c r="J824"/>
      <c r="K824"/>
      <c r="L824"/>
      <c r="M824"/>
      <c r="N824"/>
      <c r="O824"/>
      <c r="P824"/>
    </row>
    <row r="825" spans="1:16" x14ac:dyDescent="0.2">
      <c r="A825"/>
      <c r="B825"/>
      <c r="C825"/>
      <c r="H825"/>
      <c r="I825"/>
      <c r="J825"/>
      <c r="K825"/>
      <c r="L825"/>
      <c r="M825"/>
      <c r="N825"/>
      <c r="O825"/>
      <c r="P825"/>
    </row>
    <row r="826" spans="1:16" x14ac:dyDescent="0.2">
      <c r="A826"/>
      <c r="B826"/>
      <c r="C826"/>
      <c r="H826"/>
      <c r="I826"/>
      <c r="J826"/>
      <c r="K826"/>
      <c r="L826"/>
      <c r="M826"/>
      <c r="N826"/>
      <c r="O826"/>
      <c r="P826"/>
    </row>
    <row r="827" spans="1:16" x14ac:dyDescent="0.2">
      <c r="A827"/>
      <c r="B827"/>
      <c r="C827"/>
      <c r="H827"/>
      <c r="I827"/>
      <c r="J827"/>
      <c r="K827"/>
      <c r="L827"/>
      <c r="M827"/>
      <c r="N827"/>
      <c r="O827"/>
      <c r="P827"/>
    </row>
    <row r="828" spans="1:16" ht="12" customHeight="1" x14ac:dyDescent="0.2">
      <c r="A828"/>
      <c r="B828"/>
      <c r="C828"/>
      <c r="H828"/>
      <c r="I828"/>
      <c r="J828"/>
      <c r="K828"/>
      <c r="L828"/>
      <c r="M828"/>
      <c r="N828"/>
      <c r="O828"/>
      <c r="P828"/>
    </row>
    <row r="829" spans="1:16" ht="12" customHeight="1" x14ac:dyDescent="0.2">
      <c r="A829"/>
      <c r="B829"/>
      <c r="C829"/>
      <c r="H829"/>
      <c r="I829"/>
      <c r="J829"/>
      <c r="K829"/>
      <c r="L829"/>
      <c r="M829"/>
      <c r="N829"/>
      <c r="O829"/>
      <c r="P829"/>
    </row>
    <row r="830" spans="1:16" ht="12" customHeight="1" x14ac:dyDescent="0.2">
      <c r="A830"/>
      <c r="B830"/>
      <c r="C830"/>
      <c r="H830"/>
      <c r="I830"/>
      <c r="J830"/>
      <c r="K830"/>
      <c r="L830"/>
      <c r="M830"/>
      <c r="N830"/>
      <c r="O830"/>
      <c r="P830"/>
    </row>
    <row r="831" spans="1:16" ht="12" customHeight="1" x14ac:dyDescent="0.2">
      <c r="A831"/>
      <c r="B831"/>
      <c r="C831"/>
      <c r="H831"/>
      <c r="I831"/>
      <c r="J831"/>
      <c r="K831"/>
      <c r="L831"/>
      <c r="M831"/>
      <c r="N831"/>
      <c r="O831"/>
      <c r="P831"/>
    </row>
    <row r="832" spans="1:16" ht="12" customHeight="1" x14ac:dyDescent="0.2">
      <c r="A832"/>
      <c r="B832"/>
      <c r="C832"/>
      <c r="H832"/>
      <c r="I832"/>
      <c r="J832"/>
      <c r="K832"/>
      <c r="L832"/>
      <c r="M832"/>
      <c r="N832"/>
      <c r="O832"/>
      <c r="P832"/>
    </row>
    <row r="833" spans="1:16" ht="12" customHeight="1" x14ac:dyDescent="0.2">
      <c r="A833"/>
      <c r="B833"/>
      <c r="C833"/>
      <c r="H833"/>
      <c r="I833"/>
      <c r="J833"/>
      <c r="K833"/>
      <c r="L833"/>
      <c r="M833"/>
      <c r="N833"/>
      <c r="O833"/>
      <c r="P833"/>
    </row>
    <row r="834" spans="1:16" ht="12" customHeight="1" x14ac:dyDescent="0.2">
      <c r="A834"/>
      <c r="B834"/>
      <c r="C834"/>
      <c r="H834"/>
      <c r="I834"/>
      <c r="J834"/>
      <c r="K834"/>
      <c r="L834"/>
      <c r="M834"/>
      <c r="N834"/>
      <c r="O834"/>
      <c r="P834"/>
    </row>
    <row r="835" spans="1:16" ht="12" customHeight="1" x14ac:dyDescent="0.2">
      <c r="A835"/>
      <c r="B835"/>
      <c r="C835"/>
      <c r="H835"/>
      <c r="I835"/>
      <c r="J835"/>
      <c r="K835"/>
      <c r="L835"/>
      <c r="M835"/>
      <c r="N835"/>
      <c r="O835"/>
      <c r="P835"/>
    </row>
    <row r="836" spans="1:16" ht="12" customHeight="1" x14ac:dyDescent="0.2">
      <c r="A836"/>
      <c r="B836"/>
      <c r="C836"/>
      <c r="H836"/>
      <c r="I836"/>
      <c r="J836"/>
      <c r="K836"/>
      <c r="L836"/>
      <c r="M836"/>
      <c r="N836"/>
      <c r="O836"/>
      <c r="P836"/>
    </row>
    <row r="837" spans="1:16" x14ac:dyDescent="0.2">
      <c r="A837"/>
      <c r="B837"/>
      <c r="C837"/>
      <c r="H837"/>
      <c r="I837"/>
      <c r="J837"/>
      <c r="K837"/>
      <c r="L837"/>
      <c r="M837"/>
      <c r="N837"/>
      <c r="O837"/>
      <c r="P837"/>
    </row>
    <row r="838" spans="1:16" x14ac:dyDescent="0.2">
      <c r="A838"/>
      <c r="B838"/>
      <c r="C838"/>
      <c r="H838"/>
      <c r="I838"/>
      <c r="J838"/>
      <c r="K838"/>
      <c r="L838"/>
      <c r="M838"/>
      <c r="N838"/>
      <c r="O838"/>
      <c r="P838"/>
    </row>
    <row r="839" spans="1:16" ht="12" customHeight="1" x14ac:dyDescent="0.2">
      <c r="A839"/>
      <c r="B839"/>
      <c r="C839"/>
      <c r="H839"/>
      <c r="I839"/>
      <c r="J839"/>
      <c r="K839"/>
      <c r="L839"/>
      <c r="M839"/>
      <c r="N839"/>
      <c r="O839"/>
      <c r="P839"/>
    </row>
    <row r="840" spans="1:16" ht="12" customHeight="1" x14ac:dyDescent="0.2">
      <c r="A840"/>
      <c r="B840"/>
      <c r="C840"/>
      <c r="H840"/>
      <c r="I840"/>
      <c r="J840"/>
      <c r="K840"/>
      <c r="L840"/>
      <c r="M840"/>
      <c r="N840"/>
      <c r="O840"/>
      <c r="P840"/>
    </row>
    <row r="841" spans="1:16" x14ac:dyDescent="0.2">
      <c r="A841"/>
      <c r="B841"/>
      <c r="C841"/>
      <c r="H841"/>
      <c r="I841"/>
      <c r="J841"/>
      <c r="K841"/>
      <c r="L841"/>
      <c r="M841"/>
      <c r="N841"/>
      <c r="O841"/>
      <c r="P841"/>
    </row>
    <row r="842" spans="1:16" x14ac:dyDescent="0.2">
      <c r="A842"/>
      <c r="B842"/>
      <c r="C842"/>
      <c r="H842"/>
      <c r="I842"/>
      <c r="J842"/>
      <c r="K842"/>
      <c r="L842"/>
      <c r="M842"/>
      <c r="N842"/>
      <c r="O842"/>
      <c r="P842"/>
    </row>
    <row r="843" spans="1:16" x14ac:dyDescent="0.2">
      <c r="A843"/>
      <c r="B843"/>
      <c r="C843"/>
      <c r="H843"/>
      <c r="I843"/>
      <c r="J843"/>
      <c r="K843"/>
      <c r="L843"/>
      <c r="M843"/>
      <c r="N843"/>
      <c r="O843"/>
      <c r="P843"/>
    </row>
    <row r="844" spans="1:16" ht="12" customHeight="1" x14ac:dyDescent="0.2">
      <c r="A844"/>
      <c r="B844"/>
      <c r="C844"/>
      <c r="H844"/>
      <c r="I844"/>
      <c r="J844"/>
      <c r="K844"/>
      <c r="L844"/>
      <c r="M844"/>
      <c r="N844"/>
      <c r="O844"/>
      <c r="P844"/>
    </row>
    <row r="845" spans="1:16" ht="12" customHeight="1" x14ac:dyDescent="0.2">
      <c r="A845"/>
      <c r="B845"/>
      <c r="C845"/>
      <c r="H845"/>
      <c r="I845"/>
      <c r="J845"/>
      <c r="K845"/>
      <c r="L845"/>
      <c r="M845"/>
      <c r="N845"/>
      <c r="O845"/>
      <c r="P845"/>
    </row>
    <row r="846" spans="1:16" ht="12" customHeight="1" x14ac:dyDescent="0.2">
      <c r="A846"/>
      <c r="B846"/>
      <c r="C846"/>
      <c r="H846"/>
      <c r="I846"/>
      <c r="J846"/>
      <c r="K846"/>
      <c r="L846"/>
      <c r="M846"/>
      <c r="N846"/>
      <c r="O846"/>
      <c r="P846"/>
    </row>
    <row r="847" spans="1:16" ht="12" customHeight="1" x14ac:dyDescent="0.2">
      <c r="A847"/>
      <c r="B847"/>
      <c r="C847"/>
      <c r="H847"/>
      <c r="I847"/>
      <c r="J847"/>
      <c r="K847"/>
      <c r="L847"/>
      <c r="M847"/>
      <c r="N847"/>
      <c r="O847"/>
      <c r="P847"/>
    </row>
    <row r="848" spans="1:16" ht="12" customHeight="1" x14ac:dyDescent="0.2">
      <c r="A848"/>
      <c r="B848"/>
      <c r="C848"/>
      <c r="H848"/>
      <c r="I848"/>
      <c r="J848"/>
      <c r="K848"/>
      <c r="L848"/>
      <c r="M848"/>
      <c r="N848"/>
      <c r="O848"/>
      <c r="P848"/>
    </row>
    <row r="849" spans="1:16" ht="12" customHeight="1" x14ac:dyDescent="0.2">
      <c r="A849"/>
      <c r="B849"/>
      <c r="C849"/>
      <c r="H849"/>
      <c r="I849"/>
      <c r="J849"/>
      <c r="K849"/>
      <c r="L849"/>
      <c r="M849"/>
      <c r="N849"/>
      <c r="O849"/>
      <c r="P849"/>
    </row>
    <row r="850" spans="1:16" ht="12" customHeight="1" x14ac:dyDescent="0.2">
      <c r="A850"/>
      <c r="B850"/>
      <c r="C850"/>
      <c r="H850"/>
      <c r="I850"/>
      <c r="J850"/>
      <c r="K850"/>
      <c r="L850"/>
      <c r="M850"/>
      <c r="N850"/>
      <c r="O850"/>
      <c r="P850"/>
    </row>
    <row r="851" spans="1:16" x14ac:dyDescent="0.2">
      <c r="A851"/>
      <c r="B851"/>
      <c r="C851"/>
      <c r="H851"/>
      <c r="I851"/>
      <c r="J851"/>
      <c r="K851"/>
      <c r="L851"/>
      <c r="M851"/>
      <c r="N851"/>
      <c r="O851"/>
      <c r="P851"/>
    </row>
    <row r="852" spans="1:16" ht="15" customHeight="1" x14ac:dyDescent="0.2">
      <c r="A852"/>
      <c r="B852"/>
      <c r="C852"/>
      <c r="H852"/>
      <c r="I852"/>
      <c r="J852"/>
      <c r="K852"/>
      <c r="L852"/>
      <c r="M852"/>
      <c r="N852"/>
      <c r="O852"/>
      <c r="P852"/>
    </row>
    <row r="853" spans="1:16" ht="15" customHeight="1" x14ac:dyDescent="0.2">
      <c r="A853"/>
      <c r="B853"/>
      <c r="C853"/>
      <c r="H853"/>
      <c r="I853"/>
      <c r="J853"/>
      <c r="K853"/>
      <c r="L853"/>
      <c r="M853"/>
      <c r="N853"/>
      <c r="O853"/>
      <c r="P853"/>
    </row>
    <row r="854" spans="1:16" ht="15" customHeight="1" x14ac:dyDescent="0.2">
      <c r="A854"/>
      <c r="B854"/>
      <c r="C854"/>
      <c r="H854"/>
      <c r="I854"/>
      <c r="J854"/>
      <c r="K854"/>
      <c r="L854"/>
      <c r="M854"/>
      <c r="N854"/>
      <c r="O854"/>
      <c r="P854"/>
    </row>
    <row r="855" spans="1:16" ht="15" customHeight="1" x14ac:dyDescent="0.2">
      <c r="A855"/>
      <c r="B855"/>
      <c r="C855"/>
      <c r="H855"/>
      <c r="I855"/>
      <c r="J855"/>
      <c r="K855"/>
      <c r="L855"/>
      <c r="M855"/>
      <c r="N855"/>
      <c r="O855"/>
      <c r="P855"/>
    </row>
    <row r="856" spans="1:16" ht="15" customHeight="1" x14ac:dyDescent="0.2">
      <c r="A856"/>
      <c r="B856"/>
      <c r="C856"/>
      <c r="H856"/>
      <c r="I856"/>
      <c r="J856"/>
      <c r="K856"/>
      <c r="L856"/>
      <c r="M856"/>
      <c r="N856"/>
      <c r="O856"/>
      <c r="P856"/>
    </row>
    <row r="857" spans="1:16" ht="15" customHeight="1" x14ac:dyDescent="0.2">
      <c r="A857"/>
      <c r="B857"/>
      <c r="C857"/>
      <c r="H857"/>
      <c r="I857"/>
      <c r="J857"/>
      <c r="K857"/>
      <c r="L857"/>
      <c r="M857"/>
      <c r="N857"/>
      <c r="O857"/>
      <c r="P857"/>
    </row>
    <row r="858" spans="1:16" ht="15" customHeight="1" x14ac:dyDescent="0.2">
      <c r="A858"/>
      <c r="B858"/>
      <c r="C858"/>
      <c r="H858"/>
      <c r="I858"/>
      <c r="J858"/>
      <c r="K858"/>
      <c r="L858"/>
      <c r="M858"/>
      <c r="N858"/>
      <c r="O858"/>
      <c r="P858"/>
    </row>
    <row r="859" spans="1:16" ht="15" customHeight="1" x14ac:dyDescent="0.2">
      <c r="A859"/>
      <c r="B859"/>
      <c r="C859"/>
      <c r="H859"/>
      <c r="I859"/>
      <c r="J859"/>
      <c r="K859"/>
      <c r="L859"/>
      <c r="M859"/>
      <c r="N859"/>
      <c r="O859"/>
      <c r="P859"/>
    </row>
    <row r="860" spans="1:16" ht="15" customHeight="1" x14ac:dyDescent="0.2">
      <c r="A860"/>
      <c r="B860"/>
      <c r="C860"/>
      <c r="H860"/>
      <c r="I860"/>
      <c r="J860"/>
      <c r="K860"/>
      <c r="L860"/>
      <c r="M860"/>
      <c r="N860"/>
      <c r="O860"/>
      <c r="P860"/>
    </row>
    <row r="861" spans="1:16" ht="15" customHeight="1" x14ac:dyDescent="0.2">
      <c r="A861"/>
      <c r="B861"/>
      <c r="C861"/>
      <c r="H861"/>
      <c r="I861"/>
      <c r="J861"/>
      <c r="K861"/>
      <c r="L861"/>
      <c r="M861"/>
      <c r="N861"/>
      <c r="O861"/>
      <c r="P861"/>
    </row>
    <row r="862" spans="1:16" ht="15" customHeight="1" x14ac:dyDescent="0.2">
      <c r="A862"/>
      <c r="B862"/>
      <c r="C862"/>
      <c r="H862"/>
      <c r="I862"/>
      <c r="J862"/>
      <c r="K862"/>
      <c r="L862"/>
      <c r="M862"/>
      <c r="N862"/>
      <c r="O862"/>
      <c r="P862"/>
    </row>
    <row r="863" spans="1:16" ht="15" customHeight="1" x14ac:dyDescent="0.2">
      <c r="A863"/>
      <c r="B863"/>
      <c r="C863"/>
      <c r="H863"/>
      <c r="I863"/>
      <c r="J863"/>
      <c r="K863"/>
      <c r="L863"/>
      <c r="M863"/>
      <c r="N863"/>
      <c r="O863"/>
      <c r="P863"/>
    </row>
    <row r="864" spans="1:16" ht="15" customHeight="1" x14ac:dyDescent="0.2">
      <c r="A864"/>
      <c r="B864"/>
      <c r="C864"/>
      <c r="H864"/>
      <c r="I864"/>
      <c r="J864"/>
      <c r="K864"/>
      <c r="L864"/>
      <c r="M864"/>
      <c r="N864"/>
      <c r="O864"/>
      <c r="P864"/>
    </row>
    <row r="865" spans="1:16" ht="15" customHeight="1" x14ac:dyDescent="0.2">
      <c r="A865"/>
      <c r="B865"/>
      <c r="C865"/>
      <c r="H865"/>
      <c r="I865"/>
      <c r="J865"/>
      <c r="K865"/>
      <c r="L865"/>
      <c r="M865"/>
      <c r="N865"/>
      <c r="O865"/>
      <c r="P865"/>
    </row>
    <row r="866" spans="1:16" ht="15" customHeight="1" x14ac:dyDescent="0.2">
      <c r="A866"/>
      <c r="B866"/>
      <c r="C866"/>
      <c r="H866"/>
      <c r="I866"/>
      <c r="J866"/>
      <c r="K866"/>
      <c r="L866"/>
      <c r="M866"/>
      <c r="N866"/>
      <c r="O866"/>
      <c r="P866"/>
    </row>
    <row r="867" spans="1:16" x14ac:dyDescent="0.2">
      <c r="A867"/>
      <c r="B867"/>
      <c r="C867"/>
      <c r="H867"/>
      <c r="I867"/>
      <c r="J867"/>
      <c r="K867"/>
      <c r="L867"/>
      <c r="M867"/>
      <c r="N867"/>
      <c r="O867"/>
      <c r="P867"/>
    </row>
    <row r="868" spans="1:16" ht="13.5" customHeight="1" x14ac:dyDescent="0.2">
      <c r="A868"/>
      <c r="B868"/>
      <c r="C868"/>
      <c r="H868"/>
      <c r="I868"/>
      <c r="J868"/>
      <c r="K868"/>
      <c r="L868"/>
      <c r="M868"/>
      <c r="N868"/>
      <c r="O868"/>
      <c r="P868"/>
    </row>
    <row r="869" spans="1:16" ht="34.5" customHeight="1" x14ac:dyDescent="0.2">
      <c r="A869"/>
      <c r="B869"/>
      <c r="C869"/>
      <c r="H869"/>
      <c r="I869"/>
      <c r="J869"/>
      <c r="K869"/>
      <c r="L869"/>
      <c r="M869"/>
      <c r="N869"/>
      <c r="O869"/>
      <c r="P869"/>
    </row>
    <row r="870" spans="1:16" ht="33" customHeight="1" x14ac:dyDescent="0.2">
      <c r="A870"/>
      <c r="B870"/>
      <c r="C870"/>
      <c r="H870"/>
      <c r="I870"/>
      <c r="J870"/>
      <c r="K870"/>
      <c r="L870"/>
      <c r="M870"/>
      <c r="N870"/>
      <c r="O870"/>
      <c r="P870"/>
    </row>
    <row r="871" spans="1:16" ht="19.5" customHeight="1" x14ac:dyDescent="0.2">
      <c r="A871"/>
      <c r="B871"/>
      <c r="C871"/>
      <c r="H871"/>
      <c r="I871"/>
      <c r="J871"/>
      <c r="K871"/>
      <c r="L871"/>
      <c r="M871"/>
      <c r="N871"/>
      <c r="O871"/>
      <c r="P871"/>
    </row>
    <row r="872" spans="1:16" x14ac:dyDescent="0.2">
      <c r="A872"/>
      <c r="B872"/>
      <c r="C872"/>
      <c r="H872"/>
      <c r="I872"/>
      <c r="J872"/>
      <c r="K872"/>
      <c r="L872"/>
      <c r="M872"/>
      <c r="N872"/>
      <c r="O872"/>
      <c r="P872"/>
    </row>
    <row r="873" spans="1:16" x14ac:dyDescent="0.2">
      <c r="A873"/>
      <c r="B873"/>
      <c r="C873"/>
      <c r="H873"/>
      <c r="I873"/>
      <c r="J873"/>
      <c r="K873"/>
      <c r="L873"/>
      <c r="M873"/>
      <c r="N873"/>
      <c r="O873"/>
      <c r="P873"/>
    </row>
    <row r="874" spans="1:16" ht="12" customHeight="1" x14ac:dyDescent="0.2">
      <c r="A874"/>
      <c r="B874"/>
      <c r="C874"/>
      <c r="H874"/>
      <c r="I874"/>
      <c r="J874"/>
      <c r="K874"/>
      <c r="L874"/>
      <c r="M874"/>
      <c r="N874"/>
      <c r="O874"/>
      <c r="P874"/>
    </row>
    <row r="875" spans="1:16" ht="12" customHeight="1" x14ac:dyDescent="0.2">
      <c r="A875"/>
      <c r="B875"/>
      <c r="C875"/>
      <c r="H875"/>
      <c r="I875"/>
      <c r="J875"/>
      <c r="K875"/>
      <c r="L875"/>
      <c r="M875"/>
      <c r="N875"/>
      <c r="O875"/>
      <c r="P875"/>
    </row>
    <row r="876" spans="1:16" ht="12" customHeight="1" x14ac:dyDescent="0.2">
      <c r="A876"/>
      <c r="B876"/>
      <c r="C876"/>
      <c r="H876"/>
      <c r="I876"/>
      <c r="J876"/>
      <c r="K876"/>
      <c r="L876"/>
      <c r="M876"/>
      <c r="N876"/>
      <c r="O876"/>
      <c r="P876"/>
    </row>
    <row r="877" spans="1:16" s="485" customFormat="1" ht="14.25" customHeight="1" x14ac:dyDescent="0.2"/>
    <row r="878" spans="1:16" s="485" customFormat="1" ht="14.25" customHeight="1" x14ac:dyDescent="0.2"/>
    <row r="879" spans="1:16" ht="15" customHeight="1" x14ac:dyDescent="0.2">
      <c r="A879"/>
      <c r="B879"/>
      <c r="C879"/>
      <c r="H879"/>
      <c r="I879"/>
      <c r="J879"/>
      <c r="K879"/>
      <c r="L879"/>
      <c r="M879"/>
      <c r="N879"/>
      <c r="O879"/>
      <c r="P879"/>
    </row>
    <row r="880" spans="1:16" x14ac:dyDescent="0.2">
      <c r="A880"/>
      <c r="B880"/>
      <c r="C880"/>
      <c r="H880"/>
      <c r="I880"/>
      <c r="J880"/>
      <c r="K880"/>
      <c r="L880"/>
      <c r="M880"/>
      <c r="N880"/>
      <c r="O880"/>
      <c r="P880"/>
    </row>
    <row r="881" spans="1:16" ht="12" customHeight="1" x14ac:dyDescent="0.2">
      <c r="A881"/>
      <c r="B881"/>
      <c r="C881"/>
      <c r="H881"/>
      <c r="I881"/>
      <c r="J881"/>
      <c r="K881"/>
      <c r="L881"/>
      <c r="M881"/>
      <c r="N881"/>
      <c r="O881"/>
      <c r="P881"/>
    </row>
    <row r="882" spans="1:16" ht="12" customHeight="1" x14ac:dyDescent="0.2">
      <c r="A882"/>
      <c r="B882"/>
      <c r="C882"/>
      <c r="H882"/>
      <c r="I882"/>
      <c r="J882"/>
      <c r="K882"/>
      <c r="L882"/>
      <c r="M882"/>
      <c r="N882"/>
      <c r="O882"/>
      <c r="P882"/>
    </row>
    <row r="883" spans="1:16" x14ac:dyDescent="0.2">
      <c r="A883"/>
      <c r="B883"/>
      <c r="C883"/>
      <c r="H883"/>
      <c r="I883"/>
      <c r="J883"/>
      <c r="K883"/>
      <c r="L883"/>
      <c r="M883"/>
      <c r="N883"/>
      <c r="O883"/>
      <c r="P883"/>
    </row>
    <row r="884" spans="1:16" s="485" customFormat="1" ht="23.25" customHeight="1" x14ac:dyDescent="0.2"/>
    <row r="885" spans="1:16" s="485" customFormat="1" ht="23.25" customHeight="1" x14ac:dyDescent="0.2"/>
    <row r="886" spans="1:16" s="485" customFormat="1" ht="21.75" customHeight="1" x14ac:dyDescent="0.2"/>
    <row r="887" spans="1:16" ht="12" customHeight="1" x14ac:dyDescent="0.2">
      <c r="A887"/>
      <c r="B887"/>
      <c r="C887"/>
      <c r="H887"/>
      <c r="I887"/>
      <c r="J887"/>
      <c r="K887"/>
      <c r="L887"/>
      <c r="M887"/>
      <c r="N887"/>
      <c r="O887"/>
      <c r="P887"/>
    </row>
    <row r="888" spans="1:16" s="485" customFormat="1" ht="23.25" customHeight="1" x14ac:dyDescent="0.2"/>
    <row r="889" spans="1:16" x14ac:dyDescent="0.2">
      <c r="A889"/>
      <c r="B889"/>
      <c r="C889"/>
      <c r="H889"/>
      <c r="I889"/>
      <c r="J889"/>
      <c r="K889"/>
      <c r="L889"/>
      <c r="M889"/>
      <c r="N889"/>
      <c r="O889"/>
      <c r="P889"/>
    </row>
    <row r="890" spans="1:16" ht="12" customHeight="1" x14ac:dyDescent="0.2">
      <c r="A890"/>
      <c r="B890"/>
      <c r="C890"/>
      <c r="H890"/>
      <c r="I890"/>
      <c r="J890"/>
      <c r="K890"/>
      <c r="L890"/>
      <c r="M890"/>
      <c r="N890"/>
      <c r="O890"/>
      <c r="P890"/>
    </row>
    <row r="891" spans="1:16" ht="12" customHeight="1" x14ac:dyDescent="0.2">
      <c r="A891"/>
      <c r="B891"/>
      <c r="C891"/>
      <c r="H891"/>
      <c r="I891"/>
      <c r="J891"/>
      <c r="K891"/>
      <c r="L891"/>
      <c r="M891"/>
      <c r="N891"/>
      <c r="O891"/>
      <c r="P891"/>
    </row>
    <row r="892" spans="1:16" ht="12" customHeight="1" x14ac:dyDescent="0.2">
      <c r="A892"/>
      <c r="B892"/>
      <c r="C892"/>
      <c r="H892"/>
      <c r="I892"/>
      <c r="J892"/>
      <c r="K892"/>
      <c r="L892"/>
      <c r="M892"/>
      <c r="N892"/>
      <c r="O892"/>
      <c r="P892"/>
    </row>
    <row r="893" spans="1:16" ht="12" customHeight="1" x14ac:dyDescent="0.2">
      <c r="A893"/>
      <c r="B893"/>
      <c r="C893"/>
      <c r="H893"/>
      <c r="I893"/>
      <c r="J893"/>
      <c r="K893"/>
      <c r="L893"/>
      <c r="M893"/>
      <c r="N893"/>
      <c r="O893"/>
      <c r="P893"/>
    </row>
    <row r="894" spans="1:16" ht="12" customHeight="1" x14ac:dyDescent="0.2">
      <c r="A894"/>
      <c r="B894"/>
      <c r="C894"/>
      <c r="H894"/>
      <c r="I894"/>
      <c r="J894"/>
      <c r="K894"/>
      <c r="L894"/>
      <c r="M894"/>
      <c r="N894"/>
      <c r="O894"/>
      <c r="P894"/>
    </row>
    <row r="895" spans="1:16" ht="12" customHeight="1" x14ac:dyDescent="0.2">
      <c r="A895"/>
      <c r="B895"/>
      <c r="C895"/>
      <c r="H895"/>
      <c r="I895"/>
      <c r="J895"/>
      <c r="K895"/>
      <c r="L895"/>
      <c r="M895"/>
      <c r="N895"/>
      <c r="O895"/>
      <c r="P895"/>
    </row>
    <row r="896" spans="1:16" ht="12" customHeight="1" x14ac:dyDescent="0.2">
      <c r="A896"/>
      <c r="B896"/>
      <c r="C896"/>
      <c r="H896"/>
      <c r="I896"/>
      <c r="J896"/>
      <c r="K896"/>
      <c r="L896"/>
      <c r="M896"/>
      <c r="N896"/>
      <c r="O896"/>
      <c r="P896"/>
    </row>
    <row r="897" spans="1:16" ht="12" customHeight="1" x14ac:dyDescent="0.2">
      <c r="A897"/>
      <c r="B897"/>
      <c r="C897"/>
      <c r="H897"/>
      <c r="I897"/>
      <c r="J897"/>
      <c r="K897"/>
      <c r="L897"/>
      <c r="M897"/>
      <c r="N897"/>
      <c r="O897"/>
      <c r="P897"/>
    </row>
    <row r="898" spans="1:16" ht="12" customHeight="1" x14ac:dyDescent="0.2">
      <c r="A898"/>
      <c r="B898"/>
      <c r="C898"/>
      <c r="H898"/>
      <c r="I898"/>
      <c r="J898"/>
      <c r="K898"/>
      <c r="L898"/>
      <c r="M898"/>
      <c r="N898"/>
      <c r="O898"/>
      <c r="P898"/>
    </row>
    <row r="899" spans="1:16" ht="12" customHeight="1" x14ac:dyDescent="0.2">
      <c r="A899"/>
      <c r="B899"/>
      <c r="C899"/>
      <c r="H899"/>
      <c r="I899"/>
      <c r="J899"/>
      <c r="K899"/>
      <c r="L899"/>
      <c r="M899"/>
      <c r="N899"/>
      <c r="O899"/>
      <c r="P899"/>
    </row>
    <row r="900" spans="1:16" ht="12" customHeight="1" x14ac:dyDescent="0.2">
      <c r="A900"/>
      <c r="B900"/>
      <c r="C900"/>
      <c r="H900"/>
      <c r="I900"/>
      <c r="J900"/>
      <c r="K900"/>
      <c r="L900"/>
      <c r="M900"/>
      <c r="N900"/>
      <c r="O900"/>
      <c r="P900"/>
    </row>
    <row r="901" spans="1:16" ht="12" customHeight="1" x14ac:dyDescent="0.2">
      <c r="A901"/>
      <c r="B901"/>
      <c r="C901"/>
      <c r="H901"/>
      <c r="I901"/>
      <c r="J901"/>
      <c r="K901"/>
      <c r="L901"/>
      <c r="M901"/>
      <c r="N901"/>
      <c r="O901"/>
      <c r="P901"/>
    </row>
    <row r="902" spans="1:16" ht="12" customHeight="1" x14ac:dyDescent="0.2">
      <c r="A902"/>
      <c r="B902"/>
      <c r="C902"/>
      <c r="H902"/>
      <c r="I902"/>
      <c r="J902"/>
      <c r="K902"/>
      <c r="L902"/>
      <c r="M902"/>
      <c r="N902"/>
      <c r="O902"/>
      <c r="P902"/>
    </row>
    <row r="903" spans="1:16" ht="12" customHeight="1" x14ac:dyDescent="0.2">
      <c r="A903"/>
      <c r="B903"/>
      <c r="C903"/>
      <c r="H903"/>
      <c r="I903"/>
      <c r="J903"/>
      <c r="K903"/>
      <c r="L903"/>
      <c r="M903"/>
      <c r="N903"/>
      <c r="O903"/>
      <c r="P903"/>
    </row>
    <row r="904" spans="1:16" ht="12" customHeight="1" x14ac:dyDescent="0.2">
      <c r="A904"/>
      <c r="B904"/>
      <c r="C904"/>
      <c r="H904"/>
      <c r="I904"/>
      <c r="J904"/>
      <c r="K904"/>
      <c r="L904"/>
      <c r="M904"/>
      <c r="N904"/>
      <c r="O904"/>
      <c r="P904"/>
    </row>
    <row r="905" spans="1:16" ht="12" customHeight="1" x14ac:dyDescent="0.2">
      <c r="A905"/>
      <c r="B905"/>
      <c r="C905"/>
      <c r="H905"/>
      <c r="I905"/>
      <c r="J905"/>
      <c r="K905"/>
      <c r="L905"/>
      <c r="M905"/>
      <c r="N905"/>
      <c r="O905"/>
      <c r="P905"/>
    </row>
    <row r="906" spans="1:16" ht="12" customHeight="1" x14ac:dyDescent="0.2">
      <c r="A906"/>
      <c r="B906"/>
      <c r="C906"/>
      <c r="H906"/>
      <c r="I906"/>
      <c r="J906"/>
      <c r="K906"/>
      <c r="L906"/>
      <c r="M906"/>
      <c r="N906"/>
      <c r="O906"/>
      <c r="P906"/>
    </row>
    <row r="907" spans="1:16" ht="12" customHeight="1" x14ac:dyDescent="0.2">
      <c r="A907"/>
      <c r="B907"/>
      <c r="C907"/>
      <c r="H907"/>
      <c r="I907"/>
      <c r="J907"/>
      <c r="K907"/>
      <c r="L907"/>
      <c r="M907"/>
      <c r="N907"/>
      <c r="O907"/>
      <c r="P907"/>
    </row>
    <row r="908" spans="1:16" ht="12" customHeight="1" x14ac:dyDescent="0.2">
      <c r="A908"/>
      <c r="B908"/>
      <c r="C908"/>
      <c r="H908"/>
      <c r="I908"/>
      <c r="J908"/>
      <c r="K908"/>
      <c r="L908"/>
      <c r="M908"/>
      <c r="N908"/>
      <c r="O908"/>
      <c r="P908"/>
    </row>
    <row r="909" spans="1:16" ht="12" customHeight="1" x14ac:dyDescent="0.2">
      <c r="A909"/>
      <c r="B909"/>
      <c r="C909"/>
      <c r="H909"/>
      <c r="I909"/>
      <c r="J909"/>
      <c r="K909"/>
      <c r="L909"/>
      <c r="M909"/>
      <c r="N909"/>
      <c r="O909"/>
      <c r="P909"/>
    </row>
    <row r="910" spans="1:16" ht="12" customHeight="1" x14ac:dyDescent="0.2">
      <c r="A910"/>
      <c r="B910"/>
      <c r="C910"/>
      <c r="H910"/>
      <c r="I910"/>
      <c r="J910"/>
      <c r="K910"/>
      <c r="L910"/>
      <c r="M910"/>
      <c r="N910"/>
      <c r="O910"/>
      <c r="P910"/>
    </row>
    <row r="911" spans="1:16" ht="12" customHeight="1" x14ac:dyDescent="0.2">
      <c r="A911"/>
      <c r="B911"/>
      <c r="C911"/>
      <c r="H911"/>
      <c r="I911"/>
      <c r="J911"/>
      <c r="K911"/>
      <c r="L911"/>
      <c r="M911"/>
      <c r="N911"/>
      <c r="O911"/>
      <c r="P911"/>
    </row>
    <row r="912" spans="1:16" ht="12" customHeight="1" x14ac:dyDescent="0.2">
      <c r="A912"/>
      <c r="B912"/>
      <c r="C912"/>
      <c r="H912"/>
      <c r="I912"/>
      <c r="J912"/>
      <c r="K912"/>
      <c r="L912"/>
      <c r="M912"/>
      <c r="N912"/>
      <c r="O912"/>
      <c r="P912"/>
    </row>
    <row r="913" spans="1:16" ht="12" customHeight="1" x14ac:dyDescent="0.2">
      <c r="A913"/>
      <c r="B913"/>
      <c r="C913"/>
      <c r="H913"/>
      <c r="I913"/>
      <c r="J913"/>
      <c r="K913"/>
      <c r="L913"/>
      <c r="M913"/>
      <c r="N913"/>
      <c r="O913"/>
      <c r="P913"/>
    </row>
    <row r="914" spans="1:16" ht="12" customHeight="1" x14ac:dyDescent="0.2">
      <c r="A914"/>
      <c r="B914"/>
      <c r="C914"/>
      <c r="H914"/>
      <c r="I914"/>
      <c r="J914"/>
      <c r="K914"/>
      <c r="L914"/>
      <c r="M914"/>
      <c r="N914"/>
      <c r="O914"/>
      <c r="P914"/>
    </row>
    <row r="915" spans="1:16" ht="12" customHeight="1" x14ac:dyDescent="0.2">
      <c r="A915"/>
      <c r="B915"/>
      <c r="C915"/>
      <c r="H915"/>
      <c r="I915"/>
      <c r="J915"/>
      <c r="K915"/>
      <c r="L915"/>
      <c r="M915"/>
      <c r="N915"/>
      <c r="O915"/>
      <c r="P915"/>
    </row>
    <row r="916" spans="1:16" ht="12" customHeight="1" x14ac:dyDescent="0.2">
      <c r="A916"/>
      <c r="B916"/>
      <c r="C916"/>
      <c r="H916"/>
      <c r="I916"/>
      <c r="J916"/>
      <c r="K916"/>
      <c r="L916"/>
      <c r="M916"/>
      <c r="N916"/>
      <c r="O916"/>
      <c r="P916"/>
    </row>
    <row r="917" spans="1:16" ht="12" customHeight="1" x14ac:dyDescent="0.2">
      <c r="A917"/>
      <c r="B917"/>
      <c r="C917"/>
      <c r="H917"/>
      <c r="I917"/>
      <c r="J917"/>
      <c r="K917"/>
      <c r="L917"/>
      <c r="M917"/>
      <c r="N917"/>
      <c r="O917"/>
      <c r="P917"/>
    </row>
    <row r="918" spans="1:16" ht="12" customHeight="1" x14ac:dyDescent="0.2">
      <c r="A918"/>
      <c r="B918"/>
      <c r="C918"/>
      <c r="H918"/>
      <c r="I918"/>
      <c r="J918"/>
      <c r="K918"/>
      <c r="L918"/>
      <c r="M918"/>
      <c r="N918"/>
      <c r="O918"/>
      <c r="P918"/>
    </row>
    <row r="919" spans="1:16" ht="12" customHeight="1" x14ac:dyDescent="0.2">
      <c r="A919"/>
      <c r="B919"/>
      <c r="C919"/>
      <c r="H919"/>
      <c r="I919"/>
      <c r="J919"/>
      <c r="K919"/>
      <c r="L919"/>
      <c r="M919"/>
      <c r="N919"/>
      <c r="O919"/>
      <c r="P919"/>
    </row>
    <row r="920" spans="1:16" ht="12" customHeight="1" x14ac:dyDescent="0.2">
      <c r="A920"/>
      <c r="B920"/>
      <c r="C920"/>
      <c r="H920"/>
      <c r="I920"/>
      <c r="J920"/>
      <c r="K920"/>
      <c r="L920"/>
      <c r="M920"/>
      <c r="N920"/>
      <c r="O920"/>
      <c r="P920"/>
    </row>
    <row r="921" spans="1:16" ht="12" customHeight="1" x14ac:dyDescent="0.2">
      <c r="A921"/>
      <c r="B921"/>
      <c r="C921"/>
      <c r="H921"/>
      <c r="I921"/>
      <c r="J921"/>
      <c r="K921"/>
      <c r="L921"/>
      <c r="M921"/>
      <c r="N921"/>
      <c r="O921"/>
      <c r="P921"/>
    </row>
    <row r="922" spans="1:16" ht="12" customHeight="1" x14ac:dyDescent="0.2">
      <c r="A922"/>
      <c r="B922"/>
      <c r="C922"/>
      <c r="H922"/>
      <c r="I922"/>
      <c r="J922"/>
      <c r="K922"/>
      <c r="L922"/>
      <c r="M922"/>
      <c r="N922"/>
      <c r="O922"/>
      <c r="P922"/>
    </row>
    <row r="923" spans="1:16" ht="12" customHeight="1" x14ac:dyDescent="0.2">
      <c r="A923"/>
      <c r="B923"/>
      <c r="C923"/>
      <c r="H923"/>
      <c r="I923"/>
      <c r="J923"/>
      <c r="K923"/>
      <c r="L923"/>
      <c r="M923"/>
      <c r="N923"/>
      <c r="O923"/>
      <c r="P923"/>
    </row>
    <row r="924" spans="1:16" ht="15" customHeight="1" x14ac:dyDescent="0.2">
      <c r="A924"/>
      <c r="B924"/>
      <c r="C924"/>
      <c r="H924"/>
      <c r="I924"/>
      <c r="J924"/>
      <c r="K924"/>
      <c r="L924"/>
      <c r="M924"/>
      <c r="N924"/>
      <c r="O924"/>
      <c r="P924"/>
    </row>
    <row r="925" spans="1:16" ht="12" customHeight="1" x14ac:dyDescent="0.2">
      <c r="A925"/>
      <c r="B925"/>
      <c r="C925"/>
      <c r="H925"/>
      <c r="I925"/>
      <c r="J925"/>
      <c r="K925"/>
      <c r="L925"/>
      <c r="M925"/>
      <c r="N925"/>
      <c r="O925"/>
      <c r="P925"/>
    </row>
    <row r="926" spans="1:16" ht="12" customHeight="1" x14ac:dyDescent="0.2">
      <c r="A926"/>
      <c r="B926"/>
      <c r="C926"/>
      <c r="H926"/>
      <c r="I926"/>
      <c r="J926"/>
      <c r="K926"/>
      <c r="L926"/>
      <c r="M926"/>
      <c r="N926"/>
      <c r="O926"/>
      <c r="P926"/>
    </row>
    <row r="927" spans="1:16" ht="15" customHeight="1" x14ac:dyDescent="0.2">
      <c r="A927"/>
      <c r="B927"/>
      <c r="C927"/>
      <c r="H927"/>
      <c r="I927"/>
      <c r="J927"/>
      <c r="K927"/>
      <c r="L927"/>
      <c r="M927"/>
      <c r="N927"/>
      <c r="O927"/>
      <c r="P927"/>
    </row>
    <row r="928" spans="1:16" ht="12" customHeight="1" x14ac:dyDescent="0.2">
      <c r="A928"/>
      <c r="B928"/>
      <c r="C928"/>
      <c r="H928"/>
      <c r="I928"/>
      <c r="J928"/>
      <c r="K928"/>
      <c r="L928"/>
      <c r="M928"/>
      <c r="N928"/>
      <c r="O928"/>
      <c r="P928"/>
    </row>
    <row r="929" spans="1:16" ht="12" customHeight="1" x14ac:dyDescent="0.2">
      <c r="A929"/>
      <c r="B929"/>
      <c r="C929"/>
      <c r="H929"/>
      <c r="I929"/>
      <c r="J929"/>
      <c r="K929"/>
      <c r="L929"/>
      <c r="M929"/>
      <c r="N929"/>
      <c r="O929"/>
      <c r="P929"/>
    </row>
    <row r="930" spans="1:16" ht="12" customHeight="1" x14ac:dyDescent="0.2">
      <c r="A930"/>
      <c r="B930"/>
      <c r="C930"/>
      <c r="H930"/>
      <c r="I930"/>
      <c r="J930"/>
      <c r="K930"/>
      <c r="L930"/>
      <c r="M930"/>
      <c r="N930"/>
      <c r="O930"/>
      <c r="P930"/>
    </row>
    <row r="931" spans="1:16" ht="12" customHeight="1" x14ac:dyDescent="0.2">
      <c r="A931"/>
      <c r="B931"/>
      <c r="C931"/>
      <c r="H931"/>
      <c r="I931"/>
      <c r="J931"/>
      <c r="K931"/>
      <c r="L931"/>
      <c r="M931"/>
      <c r="N931"/>
      <c r="O931"/>
      <c r="P931"/>
    </row>
    <row r="932" spans="1:16" ht="12" customHeight="1" x14ac:dyDescent="0.2">
      <c r="A932"/>
      <c r="B932"/>
      <c r="C932"/>
      <c r="H932"/>
      <c r="I932"/>
      <c r="J932"/>
      <c r="K932"/>
      <c r="L932"/>
      <c r="M932"/>
      <c r="N932"/>
      <c r="O932"/>
      <c r="P932"/>
    </row>
    <row r="933" spans="1:16" ht="12" customHeight="1" x14ac:dyDescent="0.2">
      <c r="A933"/>
      <c r="B933"/>
      <c r="C933"/>
      <c r="H933"/>
      <c r="I933"/>
      <c r="J933"/>
      <c r="K933"/>
      <c r="L933"/>
      <c r="M933"/>
      <c r="N933"/>
      <c r="O933"/>
      <c r="P933"/>
    </row>
    <row r="934" spans="1:16" ht="12" customHeight="1" x14ac:dyDescent="0.2">
      <c r="A934"/>
      <c r="B934"/>
      <c r="C934"/>
      <c r="H934"/>
      <c r="I934"/>
      <c r="J934"/>
      <c r="K934"/>
      <c r="L934"/>
      <c r="M934"/>
      <c r="N934"/>
      <c r="O934"/>
      <c r="P934"/>
    </row>
    <row r="935" spans="1:16" ht="12" customHeight="1" x14ac:dyDescent="0.2">
      <c r="A935"/>
      <c r="B935"/>
      <c r="C935"/>
      <c r="H935"/>
      <c r="I935"/>
      <c r="J935"/>
      <c r="K935"/>
      <c r="L935"/>
      <c r="M935"/>
      <c r="N935"/>
      <c r="O935"/>
      <c r="P935"/>
    </row>
    <row r="936" spans="1:16" ht="12" customHeight="1" x14ac:dyDescent="0.2">
      <c r="A936"/>
      <c r="B936"/>
      <c r="C936"/>
      <c r="H936"/>
      <c r="I936"/>
      <c r="J936"/>
      <c r="K936"/>
      <c r="L936"/>
      <c r="M936"/>
      <c r="N936"/>
      <c r="O936"/>
      <c r="P936"/>
    </row>
    <row r="937" spans="1:16" ht="12" customHeight="1" x14ac:dyDescent="0.2">
      <c r="A937"/>
      <c r="B937"/>
      <c r="C937"/>
      <c r="H937"/>
      <c r="I937"/>
      <c r="J937"/>
      <c r="K937"/>
      <c r="L937"/>
      <c r="M937"/>
      <c r="N937"/>
      <c r="O937"/>
      <c r="P937"/>
    </row>
    <row r="938" spans="1:16" ht="15" customHeight="1" x14ac:dyDescent="0.2">
      <c r="A938"/>
      <c r="B938"/>
      <c r="C938"/>
      <c r="H938"/>
      <c r="I938"/>
      <c r="J938"/>
      <c r="K938"/>
      <c r="L938"/>
      <c r="M938"/>
      <c r="N938"/>
      <c r="O938"/>
      <c r="P938"/>
    </row>
    <row r="939" spans="1:16" ht="15" customHeight="1" x14ac:dyDescent="0.2">
      <c r="A939"/>
      <c r="B939"/>
      <c r="C939"/>
      <c r="H939"/>
      <c r="I939"/>
      <c r="J939"/>
      <c r="K939"/>
      <c r="L939"/>
      <c r="M939"/>
      <c r="N939"/>
      <c r="O939"/>
      <c r="P939"/>
    </row>
    <row r="940" spans="1:16" ht="15" customHeight="1" x14ac:dyDescent="0.2">
      <c r="A940"/>
      <c r="B940"/>
      <c r="C940"/>
      <c r="H940"/>
      <c r="I940"/>
      <c r="J940"/>
      <c r="K940"/>
      <c r="L940"/>
      <c r="M940"/>
      <c r="N940"/>
      <c r="O940"/>
      <c r="P940"/>
    </row>
    <row r="941" spans="1:16" ht="15" customHeight="1" x14ac:dyDescent="0.2">
      <c r="A941"/>
      <c r="B941"/>
      <c r="C941"/>
      <c r="H941"/>
      <c r="I941"/>
      <c r="J941"/>
      <c r="K941"/>
      <c r="L941"/>
      <c r="M941"/>
      <c r="N941"/>
      <c r="O941"/>
      <c r="P941"/>
    </row>
    <row r="942" spans="1:16" ht="15" customHeight="1" x14ac:dyDescent="0.2">
      <c r="A942"/>
      <c r="B942"/>
      <c r="C942"/>
      <c r="H942"/>
      <c r="I942"/>
      <c r="J942"/>
      <c r="K942"/>
      <c r="L942"/>
      <c r="M942"/>
      <c r="N942"/>
      <c r="O942"/>
      <c r="P942"/>
    </row>
    <row r="943" spans="1:16" ht="15" customHeight="1" x14ac:dyDescent="0.2">
      <c r="A943"/>
      <c r="B943"/>
      <c r="C943"/>
      <c r="H943"/>
      <c r="I943"/>
      <c r="J943"/>
      <c r="K943"/>
      <c r="L943"/>
      <c r="M943"/>
      <c r="N943"/>
      <c r="O943"/>
      <c r="P943"/>
    </row>
    <row r="944" spans="1:16" ht="15" customHeight="1" x14ac:dyDescent="0.2">
      <c r="A944"/>
      <c r="B944"/>
      <c r="C944"/>
      <c r="H944"/>
      <c r="I944"/>
      <c r="J944"/>
      <c r="K944"/>
      <c r="L944"/>
      <c r="M944"/>
      <c r="N944"/>
      <c r="O944"/>
      <c r="P944"/>
    </row>
    <row r="945" spans="1:16" ht="15" customHeight="1" x14ac:dyDescent="0.2">
      <c r="A945"/>
      <c r="B945"/>
      <c r="C945"/>
      <c r="H945"/>
      <c r="I945"/>
      <c r="J945"/>
      <c r="K945"/>
      <c r="L945"/>
      <c r="M945"/>
      <c r="N945"/>
      <c r="O945"/>
      <c r="P945"/>
    </row>
    <row r="946" spans="1:16" ht="15" customHeight="1" x14ac:dyDescent="0.2">
      <c r="A946"/>
      <c r="B946"/>
      <c r="C946"/>
      <c r="H946"/>
      <c r="I946"/>
      <c r="J946"/>
      <c r="K946"/>
      <c r="L946"/>
      <c r="M946"/>
      <c r="N946"/>
      <c r="O946"/>
      <c r="P946"/>
    </row>
    <row r="947" spans="1:16" ht="15" customHeight="1" x14ac:dyDescent="0.2">
      <c r="A947"/>
      <c r="B947"/>
      <c r="C947"/>
      <c r="H947"/>
      <c r="I947"/>
      <c r="J947"/>
      <c r="K947"/>
      <c r="L947"/>
      <c r="M947"/>
      <c r="N947"/>
      <c r="O947"/>
      <c r="P947"/>
    </row>
    <row r="948" spans="1:16" ht="15" customHeight="1" x14ac:dyDescent="0.2">
      <c r="A948"/>
      <c r="B948"/>
      <c r="C948"/>
      <c r="H948"/>
      <c r="I948"/>
      <c r="J948"/>
      <c r="K948"/>
      <c r="L948"/>
      <c r="M948"/>
      <c r="N948"/>
      <c r="O948"/>
      <c r="P948"/>
    </row>
    <row r="949" spans="1:16" ht="15" customHeight="1" x14ac:dyDescent="0.2">
      <c r="A949"/>
      <c r="B949"/>
      <c r="C949"/>
      <c r="H949"/>
      <c r="I949"/>
      <c r="J949"/>
      <c r="K949"/>
      <c r="L949"/>
      <c r="M949"/>
      <c r="N949"/>
      <c r="O949"/>
      <c r="P949"/>
    </row>
    <row r="950" spans="1:16" ht="15" customHeight="1" x14ac:dyDescent="0.2">
      <c r="A950"/>
      <c r="B950"/>
      <c r="C950"/>
      <c r="H950"/>
      <c r="I950"/>
      <c r="J950"/>
      <c r="K950"/>
      <c r="L950"/>
      <c r="M950"/>
      <c r="N950"/>
      <c r="O950"/>
      <c r="P950"/>
    </row>
    <row r="951" spans="1:16" ht="15" customHeight="1" x14ac:dyDescent="0.2">
      <c r="A951"/>
      <c r="B951"/>
      <c r="C951"/>
      <c r="H951"/>
      <c r="I951"/>
      <c r="J951"/>
      <c r="K951"/>
      <c r="L951"/>
      <c r="M951"/>
      <c r="N951"/>
      <c r="O951"/>
      <c r="P951"/>
    </row>
    <row r="952" spans="1:16" ht="15" customHeight="1" x14ac:dyDescent="0.2">
      <c r="A952"/>
      <c r="B952"/>
      <c r="C952"/>
      <c r="H952"/>
      <c r="I952"/>
      <c r="J952"/>
      <c r="K952"/>
      <c r="L952"/>
      <c r="M952"/>
      <c r="N952"/>
      <c r="O952"/>
      <c r="P952"/>
    </row>
    <row r="953" spans="1:16" ht="15" customHeight="1" x14ac:dyDescent="0.2">
      <c r="A953"/>
      <c r="B953"/>
      <c r="C953"/>
      <c r="H953"/>
      <c r="I953"/>
      <c r="J953"/>
      <c r="K953"/>
      <c r="L953"/>
      <c r="M953"/>
      <c r="N953"/>
      <c r="O953"/>
      <c r="P953"/>
    </row>
    <row r="954" spans="1:16" ht="15" customHeight="1" x14ac:dyDescent="0.2">
      <c r="A954"/>
      <c r="B954"/>
      <c r="C954"/>
      <c r="H954"/>
      <c r="I954"/>
      <c r="J954"/>
      <c r="K954"/>
      <c r="L954"/>
      <c r="M954"/>
      <c r="N954"/>
      <c r="O954"/>
      <c r="P954"/>
    </row>
    <row r="955" spans="1:16" ht="15" customHeight="1" x14ac:dyDescent="0.2">
      <c r="A955"/>
      <c r="B955"/>
      <c r="C955"/>
      <c r="H955"/>
      <c r="I955"/>
      <c r="J955"/>
      <c r="K955"/>
      <c r="L955"/>
      <c r="M955"/>
      <c r="N955"/>
      <c r="O955"/>
      <c r="P955"/>
    </row>
    <row r="956" spans="1:16" ht="15" customHeight="1" x14ac:dyDescent="0.2">
      <c r="A956"/>
      <c r="B956"/>
      <c r="C956"/>
      <c r="H956"/>
      <c r="I956"/>
      <c r="J956"/>
      <c r="K956"/>
      <c r="L956"/>
      <c r="M956"/>
      <c r="N956"/>
      <c r="O956"/>
      <c r="P956"/>
    </row>
    <row r="957" spans="1:16" ht="15" customHeight="1" x14ac:dyDescent="0.2">
      <c r="A957"/>
      <c r="B957"/>
      <c r="C957"/>
      <c r="H957"/>
      <c r="I957"/>
      <c r="J957"/>
      <c r="K957"/>
      <c r="L957"/>
      <c r="M957"/>
      <c r="N957"/>
      <c r="O957"/>
      <c r="P957"/>
    </row>
    <row r="958" spans="1:16" ht="15" customHeight="1" x14ac:dyDescent="0.2">
      <c r="A958"/>
      <c r="B958"/>
      <c r="C958"/>
      <c r="H958"/>
      <c r="I958"/>
      <c r="J958"/>
      <c r="K958"/>
      <c r="L958"/>
      <c r="M958"/>
      <c r="N958"/>
      <c r="O958"/>
      <c r="P958"/>
    </row>
    <row r="959" spans="1:16" ht="15" customHeight="1" x14ac:dyDescent="0.2">
      <c r="A959"/>
      <c r="B959"/>
      <c r="C959"/>
      <c r="H959"/>
      <c r="I959"/>
      <c r="J959"/>
      <c r="K959"/>
      <c r="L959"/>
      <c r="M959"/>
      <c r="N959"/>
      <c r="O959"/>
      <c r="P959"/>
    </row>
    <row r="960" spans="1:16" ht="15" customHeight="1" x14ac:dyDescent="0.2">
      <c r="A960"/>
      <c r="B960"/>
      <c r="C960"/>
      <c r="H960"/>
      <c r="I960"/>
      <c r="J960"/>
      <c r="K960"/>
      <c r="L960"/>
      <c r="M960"/>
      <c r="N960"/>
      <c r="O960"/>
      <c r="P960"/>
    </row>
    <row r="961" spans="1:16" ht="15" customHeight="1" x14ac:dyDescent="0.2">
      <c r="A961"/>
      <c r="B961"/>
      <c r="C961"/>
      <c r="H961"/>
      <c r="I961"/>
      <c r="J961"/>
      <c r="K961"/>
      <c r="L961"/>
      <c r="M961"/>
      <c r="N961"/>
      <c r="O961"/>
      <c r="P961"/>
    </row>
    <row r="962" spans="1:16" ht="15" customHeight="1" x14ac:dyDescent="0.2">
      <c r="A962"/>
      <c r="B962"/>
      <c r="C962"/>
      <c r="H962"/>
      <c r="I962"/>
      <c r="J962"/>
      <c r="K962"/>
      <c r="L962"/>
      <c r="M962"/>
      <c r="N962"/>
      <c r="O962"/>
      <c r="P962"/>
    </row>
    <row r="963" spans="1:16" ht="15" customHeight="1" x14ac:dyDescent="0.2">
      <c r="A963"/>
      <c r="B963"/>
      <c r="C963"/>
      <c r="H963"/>
      <c r="I963"/>
      <c r="J963"/>
      <c r="K963"/>
      <c r="L963"/>
      <c r="M963"/>
      <c r="N963"/>
      <c r="O963"/>
      <c r="P963"/>
    </row>
    <row r="964" spans="1:16" ht="15" customHeight="1" x14ac:dyDescent="0.2">
      <c r="A964"/>
      <c r="B964"/>
      <c r="C964"/>
      <c r="H964"/>
      <c r="I964"/>
      <c r="J964"/>
      <c r="K964"/>
      <c r="L964"/>
      <c r="M964"/>
      <c r="N964"/>
      <c r="O964"/>
      <c r="P964"/>
    </row>
    <row r="965" spans="1:16" ht="15" customHeight="1" x14ac:dyDescent="0.2">
      <c r="A965"/>
      <c r="B965"/>
      <c r="C965"/>
      <c r="H965"/>
      <c r="I965"/>
      <c r="J965"/>
      <c r="K965"/>
      <c r="L965"/>
      <c r="M965"/>
      <c r="N965"/>
      <c r="O965"/>
      <c r="P965"/>
    </row>
    <row r="966" spans="1:16" ht="15" customHeight="1" x14ac:dyDescent="0.2">
      <c r="A966"/>
      <c r="B966"/>
      <c r="C966"/>
      <c r="H966"/>
      <c r="I966"/>
      <c r="J966"/>
      <c r="K966"/>
      <c r="L966"/>
      <c r="M966"/>
      <c r="N966"/>
      <c r="O966"/>
      <c r="P966"/>
    </row>
    <row r="967" spans="1:16" ht="15" customHeight="1" x14ac:dyDescent="0.2">
      <c r="A967"/>
      <c r="B967"/>
      <c r="C967"/>
      <c r="H967"/>
      <c r="I967"/>
      <c r="J967"/>
      <c r="K967"/>
      <c r="L967"/>
      <c r="M967"/>
      <c r="N967"/>
      <c r="O967"/>
      <c r="P967"/>
    </row>
    <row r="968" spans="1:16" ht="15" customHeight="1" x14ac:dyDescent="0.2">
      <c r="A968"/>
      <c r="B968"/>
      <c r="C968"/>
      <c r="H968"/>
      <c r="I968"/>
      <c r="J968"/>
      <c r="K968"/>
      <c r="L968"/>
      <c r="M968"/>
      <c r="N968"/>
      <c r="O968"/>
      <c r="P968"/>
    </row>
    <row r="969" spans="1:16" ht="15" customHeight="1" x14ac:dyDescent="0.2">
      <c r="A969"/>
      <c r="B969"/>
      <c r="C969"/>
      <c r="H969"/>
      <c r="I969"/>
      <c r="J969"/>
      <c r="K969"/>
      <c r="L969"/>
      <c r="M969"/>
      <c r="N969"/>
      <c r="O969"/>
      <c r="P969"/>
    </row>
    <row r="970" spans="1:16" ht="15" customHeight="1" x14ac:dyDescent="0.2">
      <c r="A970"/>
      <c r="B970"/>
      <c r="C970"/>
      <c r="H970"/>
      <c r="I970"/>
      <c r="J970"/>
      <c r="K970"/>
      <c r="L970"/>
      <c r="M970"/>
      <c r="N970"/>
      <c r="O970"/>
      <c r="P970"/>
    </row>
    <row r="971" spans="1:16" ht="15" customHeight="1" x14ac:dyDescent="0.2">
      <c r="A971"/>
      <c r="B971"/>
      <c r="C971"/>
      <c r="H971"/>
      <c r="I971"/>
      <c r="J971"/>
      <c r="K971"/>
      <c r="L971"/>
      <c r="M971"/>
      <c r="N971"/>
      <c r="O971"/>
      <c r="P971"/>
    </row>
    <row r="972" spans="1:16" ht="15" customHeight="1" x14ac:dyDescent="0.2">
      <c r="A972"/>
      <c r="B972"/>
      <c r="C972"/>
      <c r="H972"/>
      <c r="I972"/>
      <c r="J972"/>
      <c r="K972"/>
      <c r="L972"/>
      <c r="M972"/>
      <c r="N972"/>
      <c r="O972"/>
      <c r="P972"/>
    </row>
    <row r="973" spans="1:16" ht="15" customHeight="1" x14ac:dyDescent="0.2">
      <c r="A973"/>
      <c r="B973"/>
      <c r="C973"/>
      <c r="H973"/>
      <c r="I973"/>
      <c r="J973"/>
      <c r="K973"/>
      <c r="L973"/>
      <c r="M973"/>
      <c r="N973"/>
      <c r="O973"/>
      <c r="P973"/>
    </row>
    <row r="974" spans="1:16" ht="15" customHeight="1" x14ac:dyDescent="0.2">
      <c r="A974"/>
      <c r="B974"/>
      <c r="C974"/>
      <c r="H974"/>
      <c r="I974"/>
      <c r="J974"/>
      <c r="K974"/>
      <c r="L974"/>
      <c r="M974"/>
      <c r="N974"/>
      <c r="O974"/>
      <c r="P974"/>
    </row>
    <row r="975" spans="1:16" ht="15" customHeight="1" x14ac:dyDescent="0.2">
      <c r="A975"/>
      <c r="B975"/>
      <c r="C975"/>
      <c r="H975"/>
      <c r="I975"/>
      <c r="J975"/>
      <c r="K975"/>
      <c r="L975"/>
      <c r="M975"/>
      <c r="N975"/>
      <c r="O975"/>
      <c r="P975"/>
    </row>
    <row r="976" spans="1:16" ht="15" customHeight="1" x14ac:dyDescent="0.2">
      <c r="A976"/>
      <c r="B976"/>
      <c r="C976"/>
      <c r="H976"/>
      <c r="I976"/>
      <c r="J976"/>
      <c r="K976"/>
      <c r="L976"/>
      <c r="M976"/>
      <c r="N976"/>
      <c r="O976"/>
      <c r="P976"/>
    </row>
    <row r="977" spans="1:16" ht="15" customHeight="1" x14ac:dyDescent="0.2">
      <c r="A977"/>
      <c r="B977"/>
      <c r="C977"/>
      <c r="H977"/>
      <c r="I977"/>
      <c r="J977"/>
      <c r="K977"/>
      <c r="L977"/>
      <c r="M977"/>
      <c r="N977"/>
      <c r="O977"/>
      <c r="P977"/>
    </row>
    <row r="978" spans="1:16" ht="15" customHeight="1" x14ac:dyDescent="0.2">
      <c r="A978"/>
      <c r="B978"/>
      <c r="C978"/>
      <c r="H978"/>
      <c r="I978"/>
      <c r="J978"/>
      <c r="K978"/>
      <c r="L978"/>
      <c r="M978"/>
      <c r="N978"/>
      <c r="O978"/>
      <c r="P978"/>
    </row>
    <row r="979" spans="1:16" ht="15" customHeight="1" x14ac:dyDescent="0.2">
      <c r="A979"/>
      <c r="B979"/>
      <c r="C979"/>
      <c r="H979"/>
      <c r="I979"/>
      <c r="J979"/>
      <c r="K979"/>
      <c r="L979"/>
      <c r="M979"/>
      <c r="N979"/>
      <c r="O979"/>
      <c r="P979"/>
    </row>
    <row r="980" spans="1:16" ht="15" customHeight="1" x14ac:dyDescent="0.2">
      <c r="A980"/>
      <c r="B980"/>
      <c r="C980"/>
      <c r="H980"/>
      <c r="I980"/>
      <c r="J980"/>
      <c r="K980"/>
      <c r="L980"/>
      <c r="M980"/>
      <c r="N980"/>
      <c r="O980"/>
      <c r="P980"/>
    </row>
    <row r="981" spans="1:16" ht="15" customHeight="1" x14ac:dyDescent="0.2">
      <c r="A981"/>
      <c r="B981"/>
      <c r="C981"/>
      <c r="H981"/>
      <c r="I981"/>
      <c r="J981"/>
      <c r="K981"/>
      <c r="L981"/>
      <c r="M981"/>
      <c r="N981"/>
      <c r="O981"/>
      <c r="P981"/>
    </row>
    <row r="982" spans="1:16" ht="15" customHeight="1" x14ac:dyDescent="0.2">
      <c r="A982"/>
      <c r="B982"/>
      <c r="C982"/>
      <c r="H982"/>
      <c r="I982"/>
      <c r="J982"/>
      <c r="K982"/>
      <c r="L982"/>
      <c r="M982"/>
      <c r="N982"/>
      <c r="O982"/>
      <c r="P982"/>
    </row>
    <row r="983" spans="1:16" ht="15" customHeight="1" x14ac:dyDescent="0.2">
      <c r="A983"/>
      <c r="B983"/>
      <c r="C983"/>
      <c r="H983"/>
      <c r="I983"/>
      <c r="J983"/>
      <c r="K983"/>
      <c r="L983"/>
      <c r="M983"/>
      <c r="N983"/>
      <c r="O983"/>
      <c r="P983"/>
    </row>
    <row r="984" spans="1:16" ht="15" customHeight="1" x14ac:dyDescent="0.2">
      <c r="A984"/>
      <c r="B984"/>
      <c r="C984"/>
      <c r="H984"/>
      <c r="I984"/>
      <c r="J984"/>
      <c r="K984"/>
      <c r="L984"/>
      <c r="M984"/>
      <c r="N984"/>
      <c r="O984"/>
      <c r="P984"/>
    </row>
    <row r="985" spans="1:16" ht="15" customHeight="1" x14ac:dyDescent="0.2">
      <c r="A985"/>
      <c r="B985"/>
      <c r="C985"/>
      <c r="H985"/>
      <c r="I985"/>
      <c r="J985"/>
      <c r="K985"/>
      <c r="L985"/>
      <c r="M985"/>
      <c r="N985"/>
      <c r="O985"/>
      <c r="P985"/>
    </row>
    <row r="986" spans="1:16" ht="15" customHeight="1" x14ac:dyDescent="0.2">
      <c r="A986"/>
      <c r="B986"/>
      <c r="C986"/>
      <c r="H986"/>
      <c r="I986"/>
      <c r="J986"/>
      <c r="K986"/>
      <c r="L986"/>
      <c r="M986"/>
      <c r="N986"/>
      <c r="O986"/>
      <c r="P986"/>
    </row>
    <row r="987" spans="1:16" ht="15" customHeight="1" x14ac:dyDescent="0.2">
      <c r="A987"/>
      <c r="B987"/>
      <c r="C987"/>
      <c r="H987"/>
      <c r="I987"/>
      <c r="J987"/>
      <c r="K987"/>
      <c r="L987"/>
      <c r="M987"/>
      <c r="N987"/>
      <c r="O987"/>
      <c r="P987"/>
    </row>
    <row r="988" spans="1:16" ht="15" customHeight="1" x14ac:dyDescent="0.2">
      <c r="A988"/>
      <c r="B988"/>
      <c r="C988"/>
      <c r="H988"/>
      <c r="I988"/>
      <c r="J988"/>
      <c r="K988"/>
      <c r="L988"/>
      <c r="M988"/>
      <c r="N988"/>
      <c r="O988"/>
      <c r="P988"/>
    </row>
    <row r="989" spans="1:16" ht="15" customHeight="1" x14ac:dyDescent="0.2">
      <c r="A989"/>
      <c r="B989"/>
      <c r="C989"/>
      <c r="H989"/>
      <c r="I989"/>
      <c r="J989"/>
      <c r="K989"/>
      <c r="L989"/>
      <c r="M989"/>
      <c r="N989"/>
      <c r="O989"/>
      <c r="P989"/>
    </row>
    <row r="990" spans="1:16" ht="15" customHeight="1" x14ac:dyDescent="0.2">
      <c r="A990"/>
      <c r="B990"/>
      <c r="C990"/>
      <c r="H990"/>
      <c r="I990"/>
      <c r="J990"/>
      <c r="K990"/>
      <c r="L990"/>
      <c r="M990"/>
      <c r="N990"/>
      <c r="O990"/>
      <c r="P990"/>
    </row>
    <row r="991" spans="1:16" ht="15" customHeight="1" x14ac:dyDescent="0.2">
      <c r="A991"/>
      <c r="B991"/>
      <c r="C991"/>
      <c r="H991"/>
      <c r="I991"/>
      <c r="J991"/>
      <c r="K991"/>
      <c r="L991"/>
      <c r="M991"/>
      <c r="N991"/>
      <c r="O991"/>
      <c r="P991"/>
    </row>
    <row r="992" spans="1:16" ht="15" customHeight="1" x14ac:dyDescent="0.2">
      <c r="A992"/>
      <c r="B992"/>
      <c r="C992"/>
      <c r="H992"/>
      <c r="I992"/>
      <c r="J992"/>
      <c r="K992"/>
      <c r="L992"/>
      <c r="M992"/>
      <c r="N992"/>
      <c r="O992"/>
      <c r="P992"/>
    </row>
    <row r="993" spans="1:16" ht="15" customHeight="1" x14ac:dyDescent="0.2">
      <c r="A993"/>
      <c r="B993"/>
      <c r="C993"/>
      <c r="H993"/>
      <c r="I993"/>
      <c r="J993"/>
      <c r="K993"/>
      <c r="L993"/>
      <c r="M993"/>
      <c r="N993"/>
      <c r="O993"/>
      <c r="P993"/>
    </row>
    <row r="994" spans="1:16" ht="15" customHeight="1" x14ac:dyDescent="0.2">
      <c r="A994"/>
      <c r="B994"/>
      <c r="C994"/>
      <c r="H994"/>
      <c r="I994"/>
      <c r="J994"/>
      <c r="K994"/>
      <c r="L994"/>
      <c r="M994"/>
      <c r="N994"/>
      <c r="O994"/>
      <c r="P994"/>
    </row>
    <row r="995" spans="1:16" ht="15" customHeight="1" x14ac:dyDescent="0.2">
      <c r="A995"/>
      <c r="B995"/>
      <c r="C995"/>
      <c r="H995"/>
      <c r="I995"/>
      <c r="J995"/>
      <c r="K995"/>
      <c r="L995"/>
      <c r="M995"/>
      <c r="N995"/>
      <c r="O995"/>
      <c r="P995"/>
    </row>
    <row r="996" spans="1:16" ht="15" customHeight="1" x14ac:dyDescent="0.2">
      <c r="A996"/>
      <c r="B996"/>
      <c r="C996"/>
      <c r="H996"/>
      <c r="I996"/>
      <c r="J996"/>
      <c r="K996"/>
      <c r="L996"/>
      <c r="M996"/>
      <c r="N996"/>
      <c r="O996"/>
      <c r="P996"/>
    </row>
    <row r="997" spans="1:16" ht="15" customHeight="1" x14ac:dyDescent="0.2">
      <c r="A997"/>
      <c r="B997"/>
      <c r="C997"/>
      <c r="H997"/>
      <c r="I997"/>
      <c r="J997"/>
      <c r="K997"/>
      <c r="L997"/>
      <c r="M997"/>
      <c r="N997"/>
      <c r="O997"/>
      <c r="P997"/>
    </row>
    <row r="998" spans="1:16" ht="15" customHeight="1" x14ac:dyDescent="0.2">
      <c r="A998"/>
      <c r="B998"/>
      <c r="C998"/>
      <c r="H998"/>
      <c r="I998"/>
      <c r="J998"/>
      <c r="K998"/>
      <c r="L998"/>
      <c r="M998"/>
      <c r="N998"/>
      <c r="O998"/>
      <c r="P998"/>
    </row>
    <row r="999" spans="1:16" ht="15" customHeight="1" x14ac:dyDescent="0.2">
      <c r="A999"/>
      <c r="B999"/>
      <c r="C999"/>
      <c r="H999"/>
      <c r="I999"/>
      <c r="J999"/>
      <c r="K999"/>
      <c r="L999"/>
      <c r="M999"/>
      <c r="N999"/>
      <c r="O999"/>
      <c r="P999"/>
    </row>
    <row r="1000" spans="1:16" x14ac:dyDescent="0.2">
      <c r="A1000"/>
      <c r="B1000"/>
      <c r="C1000"/>
      <c r="H1000"/>
      <c r="I1000"/>
      <c r="J1000"/>
      <c r="K1000"/>
      <c r="L1000"/>
      <c r="M1000"/>
      <c r="N1000"/>
      <c r="O1000"/>
      <c r="P1000"/>
    </row>
    <row r="1001" spans="1:16" ht="13.5" customHeight="1" x14ac:dyDescent="0.2">
      <c r="A1001"/>
      <c r="B1001"/>
      <c r="C1001"/>
      <c r="H1001"/>
      <c r="I1001"/>
      <c r="J1001"/>
      <c r="K1001"/>
      <c r="L1001"/>
      <c r="M1001"/>
      <c r="N1001"/>
      <c r="O1001"/>
      <c r="P1001"/>
    </row>
    <row r="1002" spans="1:16" ht="40.5" customHeight="1" x14ac:dyDescent="0.2">
      <c r="A1002"/>
      <c r="B1002"/>
      <c r="C1002"/>
      <c r="H1002"/>
      <c r="I1002"/>
      <c r="J1002"/>
      <c r="K1002"/>
      <c r="L1002"/>
      <c r="M1002"/>
      <c r="N1002"/>
      <c r="O1002"/>
      <c r="P1002"/>
    </row>
    <row r="1003" spans="1:16" ht="21" customHeight="1" x14ac:dyDescent="0.2">
      <c r="A1003"/>
      <c r="B1003"/>
      <c r="C1003"/>
      <c r="H1003"/>
      <c r="I1003"/>
      <c r="J1003"/>
      <c r="K1003"/>
      <c r="L1003"/>
      <c r="M1003"/>
      <c r="N1003"/>
      <c r="O1003"/>
      <c r="P1003"/>
    </row>
    <row r="1004" spans="1:16" x14ac:dyDescent="0.2">
      <c r="A1004"/>
      <c r="B1004"/>
      <c r="C1004"/>
      <c r="H1004"/>
      <c r="I1004"/>
      <c r="J1004"/>
      <c r="K1004"/>
      <c r="L1004"/>
      <c r="M1004"/>
      <c r="N1004"/>
      <c r="O1004"/>
      <c r="P1004"/>
    </row>
    <row r="1005" spans="1:16" x14ac:dyDescent="0.2">
      <c r="A1005"/>
      <c r="B1005"/>
      <c r="C1005"/>
      <c r="H1005"/>
      <c r="I1005"/>
      <c r="J1005"/>
      <c r="K1005"/>
      <c r="L1005"/>
      <c r="M1005"/>
      <c r="N1005"/>
      <c r="O1005"/>
      <c r="P1005"/>
    </row>
    <row r="1006" spans="1:16" ht="12" customHeight="1" x14ac:dyDescent="0.2">
      <c r="A1006"/>
      <c r="B1006"/>
      <c r="C1006"/>
      <c r="H1006"/>
      <c r="I1006"/>
      <c r="J1006"/>
      <c r="K1006"/>
      <c r="L1006"/>
      <c r="M1006"/>
      <c r="N1006"/>
      <c r="O1006"/>
      <c r="P1006"/>
    </row>
    <row r="1007" spans="1:16" ht="12" customHeight="1" x14ac:dyDescent="0.2">
      <c r="A1007"/>
      <c r="B1007"/>
      <c r="C1007"/>
      <c r="H1007"/>
      <c r="I1007"/>
      <c r="J1007"/>
      <c r="K1007"/>
      <c r="L1007"/>
      <c r="M1007"/>
      <c r="N1007"/>
      <c r="O1007"/>
      <c r="P1007"/>
    </row>
    <row r="1008" spans="1:16" ht="12" customHeight="1" x14ac:dyDescent="0.2">
      <c r="A1008"/>
      <c r="B1008"/>
      <c r="C1008"/>
      <c r="H1008"/>
      <c r="I1008"/>
      <c r="J1008"/>
      <c r="K1008"/>
      <c r="L1008"/>
      <c r="M1008"/>
      <c r="N1008"/>
      <c r="O1008"/>
      <c r="P1008"/>
    </row>
    <row r="1009" spans="1:16" ht="12" customHeight="1" x14ac:dyDescent="0.2">
      <c r="A1009"/>
      <c r="B1009"/>
      <c r="C1009"/>
      <c r="H1009"/>
      <c r="I1009"/>
      <c r="J1009"/>
      <c r="K1009"/>
      <c r="L1009"/>
      <c r="M1009"/>
      <c r="N1009"/>
      <c r="O1009"/>
      <c r="P1009"/>
    </row>
    <row r="1010" spans="1:16" ht="23.25" customHeight="1" x14ac:dyDescent="0.2">
      <c r="A1010"/>
      <c r="B1010"/>
      <c r="C1010"/>
      <c r="H1010"/>
      <c r="I1010"/>
      <c r="J1010"/>
      <c r="K1010"/>
      <c r="L1010"/>
      <c r="M1010"/>
      <c r="N1010"/>
      <c r="O1010"/>
      <c r="P1010"/>
    </row>
    <row r="1011" spans="1:16" x14ac:dyDescent="0.2">
      <c r="A1011"/>
      <c r="B1011"/>
      <c r="C1011"/>
      <c r="H1011"/>
      <c r="I1011"/>
      <c r="J1011"/>
      <c r="K1011"/>
      <c r="L1011"/>
      <c r="M1011"/>
      <c r="N1011"/>
      <c r="O1011"/>
      <c r="P1011"/>
    </row>
    <row r="1012" spans="1:16" x14ac:dyDescent="0.2">
      <c r="A1012"/>
      <c r="B1012"/>
      <c r="C1012"/>
      <c r="H1012"/>
      <c r="I1012"/>
      <c r="J1012"/>
      <c r="K1012"/>
      <c r="L1012"/>
      <c r="M1012"/>
      <c r="N1012"/>
      <c r="O1012"/>
      <c r="P1012"/>
    </row>
    <row r="1013" spans="1:16" ht="12" customHeight="1" x14ac:dyDescent="0.2">
      <c r="A1013"/>
      <c r="B1013"/>
      <c r="C1013"/>
      <c r="H1013"/>
      <c r="I1013"/>
      <c r="J1013"/>
      <c r="K1013"/>
      <c r="L1013"/>
      <c r="M1013"/>
      <c r="N1013"/>
      <c r="O1013"/>
      <c r="P1013"/>
    </row>
    <row r="1014" spans="1:16" ht="12" customHeight="1" x14ac:dyDescent="0.2">
      <c r="A1014"/>
      <c r="B1014"/>
      <c r="C1014"/>
      <c r="H1014"/>
      <c r="I1014"/>
      <c r="J1014"/>
      <c r="K1014"/>
      <c r="L1014"/>
      <c r="M1014"/>
      <c r="N1014"/>
      <c r="O1014"/>
      <c r="P1014"/>
    </row>
    <row r="1015" spans="1:16" ht="12" customHeight="1" x14ac:dyDescent="0.2">
      <c r="A1015"/>
      <c r="B1015"/>
      <c r="C1015"/>
      <c r="H1015"/>
      <c r="I1015"/>
      <c r="J1015"/>
      <c r="K1015"/>
      <c r="L1015"/>
      <c r="M1015"/>
      <c r="N1015"/>
      <c r="O1015"/>
      <c r="P1015"/>
    </row>
    <row r="1016" spans="1:16" ht="12" customHeight="1" x14ac:dyDescent="0.2">
      <c r="A1016"/>
      <c r="B1016"/>
      <c r="C1016"/>
      <c r="H1016"/>
      <c r="I1016"/>
      <c r="J1016"/>
      <c r="K1016"/>
      <c r="L1016"/>
      <c r="M1016"/>
      <c r="N1016"/>
      <c r="O1016"/>
      <c r="P1016"/>
    </row>
    <row r="1017" spans="1:16" ht="12" customHeight="1" x14ac:dyDescent="0.2">
      <c r="A1017"/>
      <c r="B1017"/>
      <c r="C1017"/>
      <c r="H1017"/>
      <c r="I1017"/>
      <c r="J1017"/>
      <c r="K1017"/>
      <c r="L1017"/>
      <c r="M1017"/>
      <c r="N1017"/>
      <c r="O1017"/>
      <c r="P1017"/>
    </row>
    <row r="1018" spans="1:16" ht="12" customHeight="1" x14ac:dyDescent="0.2">
      <c r="A1018"/>
      <c r="B1018"/>
      <c r="C1018"/>
      <c r="H1018"/>
      <c r="I1018"/>
      <c r="J1018"/>
      <c r="K1018"/>
      <c r="L1018"/>
      <c r="M1018"/>
      <c r="N1018"/>
      <c r="O1018"/>
      <c r="P1018"/>
    </row>
    <row r="1019" spans="1:16" ht="12" customHeight="1" x14ac:dyDescent="0.2">
      <c r="A1019"/>
      <c r="B1019"/>
      <c r="C1019"/>
      <c r="H1019"/>
      <c r="I1019"/>
      <c r="J1019"/>
      <c r="K1019"/>
      <c r="L1019"/>
      <c r="M1019"/>
      <c r="N1019"/>
      <c r="O1019"/>
      <c r="P1019"/>
    </row>
    <row r="1020" spans="1:16" ht="12" customHeight="1" x14ac:dyDescent="0.2">
      <c r="A1020"/>
      <c r="B1020"/>
      <c r="C1020"/>
      <c r="H1020"/>
      <c r="I1020"/>
      <c r="J1020"/>
      <c r="K1020"/>
      <c r="L1020"/>
      <c r="M1020"/>
      <c r="N1020"/>
      <c r="O1020"/>
      <c r="P1020"/>
    </row>
    <row r="1021" spans="1:16" ht="12" customHeight="1" x14ac:dyDescent="0.2">
      <c r="A1021"/>
      <c r="B1021"/>
      <c r="C1021"/>
      <c r="H1021"/>
      <c r="I1021"/>
      <c r="J1021"/>
      <c r="K1021"/>
      <c r="L1021"/>
      <c r="M1021"/>
      <c r="N1021"/>
      <c r="O1021"/>
      <c r="P1021"/>
    </row>
    <row r="1022" spans="1:16" ht="12" customHeight="1" x14ac:dyDescent="0.2">
      <c r="A1022"/>
      <c r="B1022"/>
      <c r="C1022"/>
      <c r="H1022"/>
      <c r="I1022"/>
      <c r="J1022"/>
      <c r="K1022"/>
      <c r="L1022"/>
      <c r="M1022"/>
      <c r="N1022"/>
      <c r="O1022"/>
      <c r="P1022"/>
    </row>
    <row r="1023" spans="1:16" ht="12" customHeight="1" x14ac:dyDescent="0.2">
      <c r="A1023"/>
      <c r="B1023"/>
      <c r="C1023"/>
      <c r="H1023"/>
      <c r="I1023"/>
      <c r="J1023"/>
      <c r="K1023"/>
      <c r="L1023"/>
      <c r="M1023"/>
      <c r="N1023"/>
      <c r="O1023"/>
      <c r="P1023"/>
    </row>
    <row r="1024" spans="1:16" ht="12" customHeight="1" x14ac:dyDescent="0.2">
      <c r="A1024"/>
      <c r="B1024"/>
      <c r="C1024"/>
      <c r="H1024"/>
      <c r="I1024"/>
      <c r="J1024"/>
      <c r="K1024"/>
      <c r="L1024"/>
      <c r="M1024"/>
      <c r="N1024"/>
      <c r="O1024"/>
      <c r="P1024"/>
    </row>
    <row r="1025" spans="1:16" ht="12" customHeight="1" x14ac:dyDescent="0.2">
      <c r="A1025"/>
      <c r="B1025"/>
      <c r="C1025"/>
      <c r="H1025"/>
      <c r="I1025"/>
      <c r="J1025"/>
      <c r="K1025"/>
      <c r="L1025"/>
      <c r="M1025"/>
      <c r="N1025"/>
      <c r="O1025"/>
      <c r="P1025"/>
    </row>
    <row r="1026" spans="1:16" ht="12" customHeight="1" x14ac:dyDescent="0.2">
      <c r="A1026"/>
      <c r="B1026"/>
      <c r="C1026"/>
      <c r="H1026"/>
      <c r="I1026"/>
      <c r="J1026"/>
      <c r="K1026"/>
      <c r="L1026"/>
      <c r="M1026"/>
      <c r="N1026"/>
      <c r="O1026"/>
      <c r="P1026"/>
    </row>
    <row r="1027" spans="1:16" x14ac:dyDescent="0.2">
      <c r="A1027"/>
      <c r="B1027"/>
      <c r="C1027"/>
      <c r="H1027"/>
      <c r="I1027"/>
      <c r="J1027"/>
      <c r="K1027"/>
      <c r="L1027"/>
      <c r="M1027"/>
      <c r="N1027"/>
      <c r="O1027"/>
      <c r="P1027"/>
    </row>
    <row r="1028" spans="1:16" x14ac:dyDescent="0.2">
      <c r="A1028"/>
      <c r="B1028"/>
      <c r="C1028"/>
      <c r="H1028"/>
      <c r="I1028"/>
      <c r="J1028"/>
      <c r="K1028"/>
      <c r="L1028"/>
      <c r="M1028"/>
      <c r="N1028"/>
      <c r="O1028"/>
      <c r="P1028"/>
    </row>
    <row r="1029" spans="1:16" x14ac:dyDescent="0.2">
      <c r="A1029"/>
      <c r="B1029"/>
      <c r="C1029"/>
      <c r="H1029"/>
      <c r="I1029"/>
      <c r="J1029"/>
      <c r="K1029"/>
      <c r="L1029"/>
      <c r="M1029"/>
      <c r="N1029"/>
      <c r="O1029"/>
      <c r="P1029"/>
    </row>
    <row r="1030" spans="1:16" ht="12" customHeight="1" x14ac:dyDescent="0.2">
      <c r="A1030"/>
      <c r="B1030"/>
      <c r="C1030"/>
      <c r="H1030"/>
      <c r="I1030"/>
      <c r="J1030"/>
      <c r="K1030"/>
      <c r="L1030"/>
      <c r="M1030"/>
      <c r="N1030"/>
      <c r="O1030"/>
      <c r="P1030"/>
    </row>
    <row r="1031" spans="1:16" ht="12" customHeight="1" x14ac:dyDescent="0.2">
      <c r="A1031"/>
      <c r="B1031"/>
      <c r="C1031"/>
      <c r="H1031"/>
      <c r="I1031"/>
      <c r="J1031"/>
      <c r="K1031"/>
      <c r="L1031"/>
      <c r="M1031"/>
      <c r="N1031"/>
      <c r="O1031"/>
      <c r="P1031"/>
    </row>
    <row r="1032" spans="1:16" ht="12" customHeight="1" x14ac:dyDescent="0.2">
      <c r="A1032"/>
      <c r="B1032"/>
      <c r="C1032"/>
      <c r="H1032"/>
      <c r="I1032"/>
      <c r="J1032"/>
      <c r="K1032"/>
      <c r="L1032"/>
      <c r="M1032"/>
      <c r="N1032"/>
      <c r="O1032"/>
      <c r="P1032"/>
    </row>
    <row r="1033" spans="1:16" ht="12" customHeight="1" x14ac:dyDescent="0.2">
      <c r="A1033"/>
      <c r="B1033"/>
      <c r="C1033"/>
      <c r="H1033"/>
      <c r="I1033"/>
      <c r="J1033"/>
      <c r="K1033"/>
      <c r="L1033"/>
      <c r="M1033"/>
      <c r="N1033"/>
      <c r="O1033"/>
      <c r="P1033"/>
    </row>
    <row r="1034" spans="1:16" ht="12" customHeight="1" x14ac:dyDescent="0.2">
      <c r="A1034"/>
      <c r="B1034"/>
      <c r="C1034"/>
      <c r="H1034"/>
      <c r="I1034"/>
      <c r="J1034"/>
      <c r="K1034"/>
      <c r="L1034"/>
      <c r="M1034"/>
      <c r="N1034"/>
      <c r="O1034"/>
      <c r="P1034"/>
    </row>
    <row r="1035" spans="1:16" ht="12" customHeight="1" x14ac:dyDescent="0.2">
      <c r="A1035"/>
      <c r="B1035"/>
      <c r="C1035"/>
      <c r="H1035"/>
      <c r="I1035"/>
      <c r="J1035"/>
      <c r="K1035"/>
      <c r="L1035"/>
      <c r="M1035"/>
      <c r="N1035"/>
      <c r="O1035"/>
      <c r="P1035"/>
    </row>
    <row r="1036" spans="1:16" ht="12" customHeight="1" x14ac:dyDescent="0.2">
      <c r="A1036"/>
      <c r="B1036"/>
      <c r="C1036"/>
      <c r="H1036"/>
      <c r="I1036"/>
      <c r="J1036"/>
      <c r="K1036"/>
      <c r="L1036"/>
      <c r="M1036"/>
      <c r="N1036"/>
      <c r="O1036"/>
      <c r="P1036"/>
    </row>
    <row r="1037" spans="1:16" ht="12" customHeight="1" x14ac:dyDescent="0.2">
      <c r="A1037"/>
      <c r="B1037"/>
      <c r="C1037"/>
      <c r="H1037"/>
      <c r="I1037"/>
      <c r="J1037"/>
      <c r="K1037"/>
      <c r="L1037"/>
      <c r="M1037"/>
      <c r="N1037"/>
      <c r="O1037"/>
      <c r="P1037"/>
    </row>
    <row r="1038" spans="1:16" ht="12" customHeight="1" x14ac:dyDescent="0.2">
      <c r="A1038"/>
      <c r="B1038"/>
      <c r="C1038"/>
      <c r="H1038"/>
      <c r="I1038"/>
      <c r="J1038"/>
      <c r="K1038"/>
      <c r="L1038"/>
      <c r="M1038"/>
      <c r="N1038"/>
      <c r="O1038"/>
      <c r="P1038"/>
    </row>
    <row r="1039" spans="1:16" ht="12" customHeight="1" x14ac:dyDescent="0.2">
      <c r="A1039"/>
      <c r="B1039"/>
      <c r="C1039"/>
      <c r="H1039"/>
      <c r="I1039"/>
      <c r="J1039"/>
      <c r="K1039"/>
      <c r="L1039"/>
      <c r="M1039"/>
      <c r="N1039"/>
      <c r="O1039"/>
      <c r="P1039"/>
    </row>
    <row r="1040" spans="1:16" ht="15" customHeight="1" x14ac:dyDescent="0.2">
      <c r="A1040"/>
      <c r="B1040"/>
      <c r="C1040"/>
      <c r="H1040"/>
      <c r="I1040"/>
      <c r="J1040"/>
      <c r="K1040"/>
      <c r="L1040"/>
      <c r="M1040"/>
      <c r="N1040"/>
      <c r="O1040"/>
      <c r="P1040"/>
    </row>
    <row r="1041" spans="1:16" ht="15" customHeight="1" x14ac:dyDescent="0.2">
      <c r="A1041"/>
      <c r="B1041"/>
      <c r="C1041"/>
      <c r="H1041"/>
      <c r="I1041"/>
      <c r="J1041"/>
      <c r="K1041"/>
      <c r="L1041"/>
      <c r="M1041"/>
      <c r="N1041"/>
      <c r="O1041"/>
      <c r="P1041"/>
    </row>
    <row r="1042" spans="1:16" ht="15" customHeight="1" x14ac:dyDescent="0.2">
      <c r="A1042"/>
      <c r="B1042"/>
      <c r="C1042"/>
      <c r="H1042"/>
      <c r="I1042"/>
      <c r="J1042"/>
      <c r="K1042"/>
      <c r="L1042"/>
      <c r="M1042"/>
      <c r="N1042"/>
      <c r="O1042"/>
      <c r="P1042"/>
    </row>
    <row r="1043" spans="1:16" ht="15" customHeight="1" x14ac:dyDescent="0.2">
      <c r="A1043"/>
      <c r="B1043"/>
      <c r="C1043"/>
      <c r="H1043"/>
      <c r="I1043"/>
      <c r="J1043"/>
      <c r="K1043"/>
      <c r="L1043"/>
      <c r="M1043"/>
      <c r="N1043"/>
      <c r="O1043"/>
      <c r="P1043"/>
    </row>
    <row r="1044" spans="1:16" ht="15" customHeight="1" x14ac:dyDescent="0.2">
      <c r="A1044"/>
      <c r="B1044"/>
      <c r="C1044"/>
      <c r="H1044"/>
      <c r="I1044"/>
      <c r="J1044"/>
      <c r="K1044"/>
      <c r="L1044"/>
      <c r="M1044"/>
      <c r="N1044"/>
      <c r="O1044"/>
      <c r="P1044"/>
    </row>
    <row r="1045" spans="1:16" ht="15" customHeight="1" x14ac:dyDescent="0.2">
      <c r="A1045"/>
      <c r="B1045"/>
      <c r="C1045"/>
      <c r="H1045"/>
      <c r="I1045"/>
      <c r="J1045"/>
      <c r="K1045"/>
      <c r="L1045"/>
      <c r="M1045"/>
      <c r="N1045"/>
      <c r="O1045"/>
      <c r="P1045"/>
    </row>
    <row r="1046" spans="1:16" ht="15" customHeight="1" x14ac:dyDescent="0.2">
      <c r="A1046"/>
      <c r="B1046"/>
      <c r="C1046"/>
      <c r="H1046"/>
      <c r="I1046"/>
      <c r="J1046"/>
      <c r="K1046"/>
      <c r="L1046"/>
      <c r="M1046"/>
      <c r="N1046"/>
      <c r="O1046"/>
      <c r="P1046"/>
    </row>
    <row r="1047" spans="1:16" ht="15" customHeight="1" x14ac:dyDescent="0.2">
      <c r="A1047"/>
      <c r="B1047"/>
      <c r="C1047"/>
      <c r="H1047"/>
      <c r="I1047"/>
      <c r="J1047"/>
      <c r="K1047"/>
      <c r="L1047"/>
      <c r="M1047"/>
      <c r="N1047"/>
      <c r="O1047"/>
      <c r="P1047"/>
    </row>
    <row r="1048" spans="1:16" ht="15" customHeight="1" x14ac:dyDescent="0.2">
      <c r="A1048"/>
      <c r="B1048"/>
      <c r="C1048"/>
      <c r="H1048"/>
      <c r="I1048"/>
      <c r="J1048"/>
      <c r="K1048"/>
      <c r="L1048"/>
      <c r="M1048"/>
      <c r="N1048"/>
      <c r="O1048"/>
      <c r="P1048"/>
    </row>
    <row r="1049" spans="1:16" ht="15" customHeight="1" x14ac:dyDescent="0.2">
      <c r="A1049"/>
      <c r="B1049"/>
      <c r="C1049"/>
      <c r="H1049"/>
      <c r="I1049"/>
      <c r="J1049"/>
      <c r="K1049"/>
      <c r="L1049"/>
      <c r="M1049"/>
      <c r="N1049"/>
      <c r="O1049"/>
      <c r="P1049"/>
    </row>
    <row r="1050" spans="1:16" ht="15" customHeight="1" x14ac:dyDescent="0.2">
      <c r="A1050"/>
      <c r="B1050"/>
      <c r="C1050"/>
      <c r="H1050"/>
      <c r="I1050"/>
      <c r="J1050"/>
      <c r="K1050"/>
      <c r="L1050"/>
      <c r="M1050"/>
      <c r="N1050"/>
      <c r="O1050"/>
      <c r="P1050"/>
    </row>
    <row r="1051" spans="1:16" ht="15" customHeight="1" x14ac:dyDescent="0.2">
      <c r="A1051"/>
      <c r="B1051"/>
      <c r="C1051"/>
      <c r="H1051"/>
      <c r="I1051"/>
      <c r="J1051"/>
      <c r="K1051"/>
      <c r="L1051"/>
      <c r="M1051"/>
      <c r="N1051"/>
      <c r="O1051"/>
      <c r="P1051"/>
    </row>
    <row r="1052" spans="1:16" ht="15" customHeight="1" x14ac:dyDescent="0.2">
      <c r="A1052"/>
      <c r="B1052"/>
      <c r="C1052"/>
      <c r="H1052"/>
      <c r="I1052"/>
      <c r="J1052"/>
      <c r="K1052"/>
      <c r="L1052"/>
      <c r="M1052"/>
      <c r="N1052"/>
      <c r="O1052"/>
      <c r="P1052"/>
    </row>
    <row r="1053" spans="1:16" ht="15" customHeight="1" x14ac:dyDescent="0.2">
      <c r="A1053"/>
      <c r="B1053"/>
      <c r="C1053"/>
      <c r="H1053"/>
      <c r="I1053"/>
      <c r="J1053"/>
      <c r="K1053"/>
      <c r="L1053"/>
      <c r="M1053"/>
      <c r="N1053"/>
      <c r="O1053"/>
      <c r="P1053"/>
    </row>
    <row r="1054" spans="1:16" ht="15" customHeight="1" x14ac:dyDescent="0.2">
      <c r="A1054"/>
      <c r="B1054"/>
      <c r="C1054"/>
      <c r="H1054"/>
      <c r="I1054"/>
      <c r="J1054"/>
      <c r="K1054"/>
      <c r="L1054"/>
      <c r="M1054"/>
      <c r="N1054"/>
      <c r="O1054"/>
      <c r="P1054"/>
    </row>
    <row r="1055" spans="1:16" ht="15" customHeight="1" x14ac:dyDescent="0.2">
      <c r="A1055"/>
      <c r="B1055"/>
      <c r="C1055"/>
      <c r="H1055"/>
      <c r="I1055"/>
      <c r="J1055"/>
      <c r="K1055"/>
      <c r="L1055"/>
      <c r="M1055"/>
      <c r="N1055"/>
      <c r="O1055"/>
      <c r="P1055"/>
    </row>
    <row r="1056" spans="1:16" ht="15" customHeight="1" x14ac:dyDescent="0.2">
      <c r="A1056"/>
      <c r="B1056"/>
      <c r="C1056"/>
      <c r="H1056"/>
      <c r="I1056"/>
      <c r="J1056"/>
      <c r="K1056"/>
      <c r="L1056"/>
      <c r="M1056"/>
      <c r="N1056"/>
      <c r="O1056"/>
      <c r="P1056"/>
    </row>
    <row r="1057" spans="1:16" ht="15" customHeight="1" x14ac:dyDescent="0.2">
      <c r="A1057"/>
      <c r="B1057"/>
      <c r="C1057"/>
      <c r="H1057"/>
      <c r="I1057"/>
      <c r="J1057"/>
      <c r="K1057"/>
      <c r="L1057"/>
      <c r="M1057"/>
      <c r="N1057"/>
      <c r="O1057"/>
      <c r="P1057"/>
    </row>
    <row r="1058" spans="1:16" ht="15" customHeight="1" x14ac:dyDescent="0.2">
      <c r="A1058"/>
      <c r="B1058"/>
      <c r="C1058"/>
      <c r="H1058"/>
      <c r="I1058"/>
      <c r="J1058"/>
      <c r="K1058"/>
      <c r="L1058"/>
      <c r="M1058"/>
      <c r="N1058"/>
      <c r="O1058"/>
      <c r="P1058"/>
    </row>
    <row r="1059" spans="1:16" ht="15" customHeight="1" x14ac:dyDescent="0.2">
      <c r="A1059"/>
      <c r="B1059"/>
      <c r="C1059"/>
      <c r="H1059"/>
      <c r="I1059"/>
      <c r="J1059"/>
      <c r="K1059"/>
      <c r="L1059"/>
      <c r="M1059"/>
      <c r="N1059"/>
      <c r="O1059"/>
      <c r="P1059"/>
    </row>
    <row r="1060" spans="1:16" ht="15" customHeight="1" x14ac:dyDescent="0.2">
      <c r="A1060"/>
      <c r="B1060"/>
      <c r="C1060"/>
      <c r="H1060"/>
      <c r="I1060"/>
      <c r="J1060"/>
      <c r="K1060"/>
      <c r="L1060"/>
      <c r="M1060"/>
      <c r="N1060"/>
      <c r="O1060"/>
      <c r="P1060"/>
    </row>
    <row r="1061" spans="1:16" ht="15" customHeight="1" x14ac:dyDescent="0.2">
      <c r="A1061"/>
      <c r="B1061"/>
      <c r="C1061"/>
      <c r="H1061"/>
      <c r="I1061"/>
      <c r="J1061"/>
      <c r="K1061"/>
      <c r="L1061"/>
      <c r="M1061"/>
      <c r="N1061"/>
      <c r="O1061"/>
      <c r="P1061"/>
    </row>
    <row r="1062" spans="1:16" ht="15" customHeight="1" x14ac:dyDescent="0.2">
      <c r="A1062"/>
      <c r="B1062"/>
      <c r="C1062"/>
      <c r="H1062"/>
      <c r="I1062"/>
      <c r="J1062"/>
      <c r="K1062"/>
      <c r="L1062"/>
      <c r="M1062"/>
      <c r="N1062"/>
      <c r="O1062"/>
      <c r="P1062"/>
    </row>
    <row r="1063" spans="1:16" ht="15" customHeight="1" x14ac:dyDescent="0.2">
      <c r="A1063"/>
      <c r="B1063"/>
      <c r="C1063"/>
      <c r="H1063"/>
      <c r="I1063"/>
      <c r="J1063"/>
      <c r="K1063"/>
      <c r="L1063"/>
      <c r="M1063"/>
      <c r="N1063"/>
      <c r="O1063"/>
      <c r="P1063"/>
    </row>
    <row r="1064" spans="1:16" ht="15" customHeight="1" x14ac:dyDescent="0.2">
      <c r="A1064"/>
      <c r="B1064"/>
      <c r="C1064"/>
      <c r="H1064"/>
      <c r="I1064"/>
      <c r="J1064"/>
      <c r="K1064"/>
      <c r="L1064"/>
      <c r="M1064"/>
      <c r="N1064"/>
      <c r="O1064"/>
      <c r="P1064"/>
    </row>
    <row r="1065" spans="1:16" ht="15" customHeight="1" x14ac:dyDescent="0.2">
      <c r="A1065"/>
      <c r="B1065"/>
      <c r="C1065"/>
      <c r="H1065"/>
      <c r="I1065"/>
      <c r="J1065"/>
      <c r="K1065"/>
      <c r="L1065"/>
      <c r="M1065"/>
      <c r="N1065"/>
      <c r="O1065"/>
      <c r="P1065"/>
    </row>
    <row r="1066" spans="1:16" ht="15" customHeight="1" x14ac:dyDescent="0.2">
      <c r="A1066"/>
      <c r="B1066"/>
      <c r="C1066"/>
      <c r="H1066"/>
      <c r="I1066"/>
      <c r="J1066"/>
      <c r="K1066"/>
      <c r="L1066"/>
      <c r="M1066"/>
      <c r="N1066"/>
      <c r="O1066"/>
      <c r="P1066"/>
    </row>
    <row r="1067" spans="1:16" ht="30.75" customHeight="1" x14ac:dyDescent="0.2">
      <c r="A1067"/>
      <c r="B1067"/>
      <c r="C1067"/>
      <c r="H1067"/>
      <c r="I1067"/>
      <c r="J1067"/>
      <c r="K1067"/>
      <c r="L1067"/>
      <c r="M1067"/>
      <c r="N1067"/>
      <c r="O1067"/>
      <c r="P1067"/>
    </row>
    <row r="1068" spans="1:16" ht="13.5" customHeight="1" x14ac:dyDescent="0.2">
      <c r="A1068"/>
      <c r="B1068"/>
      <c r="C1068"/>
      <c r="H1068"/>
      <c r="I1068"/>
      <c r="J1068"/>
      <c r="K1068"/>
      <c r="L1068"/>
      <c r="M1068"/>
      <c r="N1068"/>
      <c r="O1068"/>
      <c r="P1068"/>
    </row>
    <row r="1069" spans="1:16" ht="36.75" customHeight="1" x14ac:dyDescent="0.2">
      <c r="A1069"/>
      <c r="B1069"/>
      <c r="C1069"/>
      <c r="H1069"/>
      <c r="I1069"/>
      <c r="J1069"/>
      <c r="K1069"/>
      <c r="L1069"/>
      <c r="M1069"/>
      <c r="N1069"/>
      <c r="O1069"/>
      <c r="P1069"/>
    </row>
    <row r="1070" spans="1:16" ht="26.25" customHeight="1" x14ac:dyDescent="0.2">
      <c r="A1070"/>
      <c r="B1070"/>
      <c r="C1070"/>
      <c r="H1070"/>
      <c r="I1070"/>
      <c r="J1070"/>
      <c r="K1070"/>
      <c r="L1070"/>
      <c r="M1070"/>
      <c r="N1070"/>
      <c r="O1070"/>
      <c r="P1070"/>
    </row>
    <row r="1071" spans="1:16" x14ac:dyDescent="0.2">
      <c r="A1071"/>
      <c r="B1071"/>
      <c r="C1071"/>
      <c r="H1071"/>
      <c r="I1071"/>
      <c r="J1071"/>
      <c r="K1071"/>
      <c r="L1071"/>
      <c r="M1071"/>
      <c r="N1071"/>
      <c r="O1071"/>
      <c r="P1071"/>
    </row>
    <row r="1072" spans="1:16" x14ac:dyDescent="0.2">
      <c r="A1072"/>
      <c r="B1072"/>
      <c r="C1072"/>
      <c r="H1072"/>
      <c r="I1072"/>
      <c r="J1072"/>
      <c r="K1072"/>
      <c r="L1072"/>
      <c r="M1072"/>
      <c r="N1072"/>
      <c r="O1072"/>
      <c r="P1072"/>
    </row>
    <row r="1073" spans="1:16" x14ac:dyDescent="0.2">
      <c r="A1073"/>
      <c r="B1073"/>
      <c r="C1073"/>
      <c r="H1073"/>
      <c r="I1073"/>
      <c r="J1073"/>
      <c r="K1073"/>
      <c r="L1073"/>
      <c r="M1073"/>
      <c r="N1073"/>
      <c r="O1073"/>
      <c r="P1073"/>
    </row>
    <row r="1074" spans="1:16" ht="12" customHeight="1" x14ac:dyDescent="0.2">
      <c r="A1074"/>
      <c r="B1074"/>
      <c r="C1074"/>
      <c r="H1074"/>
      <c r="I1074"/>
      <c r="J1074"/>
      <c r="K1074"/>
      <c r="L1074"/>
      <c r="M1074"/>
      <c r="N1074"/>
      <c r="O1074"/>
      <c r="P1074"/>
    </row>
    <row r="1075" spans="1:16" ht="12" customHeight="1" x14ac:dyDescent="0.2">
      <c r="A1075"/>
      <c r="B1075"/>
      <c r="C1075"/>
      <c r="H1075"/>
      <c r="I1075"/>
      <c r="J1075"/>
      <c r="K1075"/>
      <c r="L1075"/>
      <c r="M1075"/>
      <c r="N1075"/>
      <c r="O1075"/>
      <c r="P1075"/>
    </row>
    <row r="1076" spans="1:16" ht="12" customHeight="1" x14ac:dyDescent="0.2">
      <c r="A1076"/>
      <c r="B1076"/>
      <c r="C1076"/>
      <c r="H1076"/>
      <c r="I1076"/>
      <c r="J1076"/>
      <c r="K1076"/>
      <c r="L1076"/>
      <c r="M1076"/>
      <c r="N1076"/>
      <c r="O1076"/>
      <c r="P1076"/>
    </row>
    <row r="1077" spans="1:16" ht="12" customHeight="1" x14ac:dyDescent="0.2">
      <c r="A1077"/>
      <c r="B1077"/>
      <c r="C1077"/>
      <c r="H1077"/>
      <c r="I1077"/>
      <c r="J1077"/>
      <c r="K1077"/>
      <c r="L1077"/>
      <c r="M1077"/>
      <c r="N1077"/>
      <c r="O1077"/>
      <c r="P1077"/>
    </row>
    <row r="1078" spans="1:16" ht="12" customHeight="1" x14ac:dyDescent="0.2">
      <c r="A1078"/>
      <c r="B1078"/>
      <c r="C1078"/>
      <c r="H1078"/>
      <c r="I1078"/>
      <c r="J1078"/>
      <c r="K1078"/>
      <c r="L1078"/>
      <c r="M1078"/>
      <c r="N1078"/>
      <c r="O1078"/>
      <c r="P1078"/>
    </row>
    <row r="1079" spans="1:16" ht="12" customHeight="1" x14ac:dyDescent="0.2">
      <c r="A1079"/>
      <c r="B1079"/>
      <c r="C1079"/>
      <c r="H1079"/>
      <c r="I1079"/>
      <c r="J1079"/>
      <c r="K1079"/>
      <c r="L1079"/>
      <c r="M1079"/>
      <c r="N1079"/>
      <c r="O1079"/>
      <c r="P1079"/>
    </row>
    <row r="1080" spans="1:16" ht="12" customHeight="1" x14ac:dyDescent="0.2">
      <c r="A1080"/>
      <c r="B1080"/>
      <c r="C1080"/>
      <c r="H1080"/>
      <c r="I1080"/>
      <c r="J1080"/>
      <c r="K1080"/>
      <c r="L1080"/>
      <c r="M1080"/>
      <c r="N1080"/>
      <c r="O1080"/>
      <c r="P1080"/>
    </row>
    <row r="1081" spans="1:16" ht="12" customHeight="1" x14ac:dyDescent="0.2">
      <c r="A1081"/>
      <c r="B1081"/>
      <c r="C1081"/>
      <c r="H1081"/>
      <c r="I1081"/>
      <c r="J1081"/>
      <c r="K1081"/>
      <c r="L1081"/>
      <c r="M1081"/>
      <c r="N1081"/>
      <c r="O1081"/>
      <c r="P1081"/>
    </row>
    <row r="1082" spans="1:16" ht="12" customHeight="1" x14ac:dyDescent="0.2">
      <c r="A1082"/>
      <c r="B1082"/>
      <c r="C1082"/>
      <c r="H1082"/>
      <c r="I1082"/>
      <c r="J1082"/>
      <c r="K1082"/>
      <c r="L1082"/>
      <c r="M1082"/>
      <c r="N1082"/>
      <c r="O1082"/>
      <c r="P1082"/>
    </row>
    <row r="1083" spans="1:16" ht="12" customHeight="1" x14ac:dyDescent="0.2">
      <c r="A1083"/>
      <c r="B1083"/>
      <c r="C1083"/>
      <c r="H1083"/>
      <c r="I1083"/>
      <c r="J1083"/>
      <c r="K1083"/>
      <c r="L1083"/>
      <c r="M1083"/>
      <c r="N1083"/>
      <c r="O1083"/>
      <c r="P1083"/>
    </row>
    <row r="1084" spans="1:16" x14ac:dyDescent="0.2">
      <c r="A1084"/>
      <c r="B1084"/>
      <c r="C1084"/>
      <c r="H1084"/>
      <c r="I1084"/>
      <c r="J1084"/>
      <c r="K1084"/>
      <c r="L1084"/>
      <c r="M1084"/>
      <c r="N1084"/>
      <c r="O1084"/>
      <c r="P1084"/>
    </row>
    <row r="1085" spans="1:16" x14ac:dyDescent="0.2">
      <c r="A1085"/>
      <c r="B1085"/>
      <c r="C1085"/>
      <c r="H1085"/>
      <c r="I1085"/>
      <c r="J1085"/>
      <c r="K1085"/>
      <c r="L1085"/>
      <c r="M1085"/>
      <c r="N1085"/>
      <c r="O1085"/>
      <c r="P1085"/>
    </row>
    <row r="1086" spans="1:16" ht="12" customHeight="1" x14ac:dyDescent="0.2">
      <c r="A1086"/>
      <c r="B1086"/>
      <c r="C1086"/>
      <c r="H1086"/>
      <c r="I1086"/>
      <c r="J1086"/>
      <c r="K1086"/>
      <c r="L1086"/>
      <c r="M1086"/>
      <c r="N1086"/>
      <c r="O1086"/>
      <c r="P1086"/>
    </row>
    <row r="1087" spans="1:16" ht="12" customHeight="1" x14ac:dyDescent="0.2">
      <c r="A1087"/>
      <c r="B1087"/>
      <c r="C1087"/>
      <c r="H1087"/>
      <c r="I1087"/>
      <c r="J1087"/>
      <c r="K1087"/>
      <c r="L1087"/>
      <c r="M1087"/>
      <c r="N1087"/>
      <c r="O1087"/>
      <c r="P1087"/>
    </row>
    <row r="1088" spans="1:16" ht="12" customHeight="1" x14ac:dyDescent="0.2">
      <c r="A1088"/>
      <c r="B1088"/>
      <c r="C1088"/>
      <c r="H1088"/>
      <c r="I1088"/>
      <c r="J1088"/>
      <c r="K1088"/>
      <c r="L1088"/>
      <c r="M1088"/>
      <c r="N1088"/>
      <c r="O1088"/>
      <c r="P1088"/>
    </row>
    <row r="1089" spans="1:16" ht="12" customHeight="1" x14ac:dyDescent="0.2">
      <c r="A1089"/>
      <c r="B1089"/>
      <c r="C1089"/>
      <c r="H1089"/>
      <c r="I1089"/>
      <c r="J1089"/>
      <c r="K1089"/>
      <c r="L1089"/>
      <c r="M1089"/>
      <c r="N1089"/>
      <c r="O1089"/>
      <c r="P1089"/>
    </row>
    <row r="1090" spans="1:16" ht="12" customHeight="1" x14ac:dyDescent="0.2">
      <c r="A1090"/>
      <c r="B1090"/>
      <c r="C1090"/>
      <c r="H1090"/>
      <c r="I1090"/>
      <c r="J1090"/>
      <c r="K1090"/>
      <c r="L1090"/>
      <c r="M1090"/>
      <c r="N1090"/>
      <c r="O1090"/>
      <c r="P1090"/>
    </row>
    <row r="1091" spans="1:16" ht="12" customHeight="1" x14ac:dyDescent="0.2">
      <c r="A1091"/>
      <c r="B1091"/>
      <c r="C1091"/>
      <c r="H1091"/>
      <c r="I1091"/>
      <c r="J1091"/>
      <c r="K1091"/>
      <c r="L1091"/>
      <c r="M1091"/>
      <c r="N1091"/>
      <c r="O1091"/>
      <c r="P1091"/>
    </row>
    <row r="1092" spans="1:16" ht="12" customHeight="1" x14ac:dyDescent="0.2">
      <c r="A1092"/>
      <c r="B1092"/>
      <c r="C1092"/>
      <c r="H1092"/>
      <c r="I1092"/>
      <c r="J1092"/>
      <c r="K1092"/>
      <c r="L1092"/>
      <c r="M1092"/>
      <c r="N1092"/>
      <c r="O1092"/>
      <c r="P1092"/>
    </row>
    <row r="1093" spans="1:16" ht="12" customHeight="1" x14ac:dyDescent="0.2">
      <c r="A1093"/>
      <c r="B1093"/>
      <c r="C1093"/>
      <c r="H1093"/>
      <c r="I1093"/>
      <c r="J1093"/>
      <c r="K1093"/>
      <c r="L1093"/>
      <c r="M1093"/>
      <c r="N1093"/>
      <c r="O1093"/>
      <c r="P1093"/>
    </row>
    <row r="1094" spans="1:16" ht="12" customHeight="1" x14ac:dyDescent="0.2">
      <c r="A1094"/>
      <c r="B1094"/>
      <c r="C1094"/>
      <c r="H1094"/>
      <c r="I1094"/>
      <c r="J1094"/>
      <c r="K1094"/>
      <c r="L1094"/>
      <c r="M1094"/>
      <c r="N1094"/>
      <c r="O1094"/>
      <c r="P1094"/>
    </row>
    <row r="1095" spans="1:16" ht="12" customHeight="1" x14ac:dyDescent="0.2">
      <c r="A1095"/>
      <c r="B1095"/>
      <c r="C1095"/>
      <c r="H1095"/>
      <c r="I1095"/>
      <c r="J1095"/>
      <c r="K1095"/>
      <c r="L1095"/>
      <c r="M1095"/>
      <c r="N1095"/>
      <c r="O1095"/>
      <c r="P1095"/>
    </row>
    <row r="1096" spans="1:16" ht="12" customHeight="1" x14ac:dyDescent="0.2">
      <c r="A1096"/>
      <c r="B1096"/>
      <c r="C1096"/>
      <c r="H1096"/>
      <c r="I1096"/>
      <c r="J1096"/>
      <c r="K1096"/>
      <c r="L1096"/>
      <c r="M1096"/>
      <c r="N1096"/>
      <c r="O1096"/>
      <c r="P1096"/>
    </row>
    <row r="1097" spans="1:16" ht="12" customHeight="1" x14ac:dyDescent="0.2">
      <c r="A1097"/>
      <c r="B1097"/>
      <c r="C1097"/>
      <c r="H1097"/>
      <c r="I1097"/>
      <c r="J1097"/>
      <c r="K1097"/>
      <c r="L1097"/>
      <c r="M1097"/>
      <c r="N1097"/>
      <c r="O1097"/>
      <c r="P1097"/>
    </row>
    <row r="1098" spans="1:16" ht="12" customHeight="1" x14ac:dyDescent="0.2">
      <c r="A1098"/>
      <c r="B1098"/>
      <c r="C1098"/>
      <c r="H1098"/>
      <c r="I1098"/>
      <c r="J1098"/>
      <c r="K1098"/>
      <c r="L1098"/>
      <c r="M1098"/>
      <c r="N1098"/>
      <c r="O1098"/>
      <c r="P1098"/>
    </row>
    <row r="1099" spans="1:16" ht="12" customHeight="1" x14ac:dyDescent="0.2">
      <c r="A1099"/>
      <c r="B1099"/>
      <c r="C1099"/>
      <c r="H1099"/>
      <c r="I1099"/>
      <c r="J1099"/>
      <c r="K1099"/>
      <c r="L1099"/>
      <c r="M1099"/>
      <c r="N1099"/>
      <c r="O1099"/>
      <c r="P1099"/>
    </row>
    <row r="1100" spans="1:16" ht="12" customHeight="1" x14ac:dyDescent="0.2">
      <c r="A1100"/>
      <c r="B1100"/>
      <c r="C1100"/>
      <c r="H1100"/>
      <c r="I1100"/>
      <c r="J1100"/>
      <c r="K1100"/>
      <c r="L1100"/>
      <c r="M1100"/>
      <c r="N1100"/>
      <c r="O1100"/>
      <c r="P1100"/>
    </row>
    <row r="1101" spans="1:16" ht="12" customHeight="1" x14ac:dyDescent="0.2">
      <c r="A1101"/>
      <c r="B1101"/>
      <c r="C1101"/>
      <c r="H1101"/>
      <c r="I1101"/>
      <c r="J1101"/>
      <c r="K1101"/>
      <c r="L1101"/>
      <c r="M1101"/>
      <c r="N1101"/>
      <c r="O1101"/>
      <c r="P1101"/>
    </row>
    <row r="1102" spans="1:16" ht="12" customHeight="1" x14ac:dyDescent="0.2">
      <c r="A1102"/>
      <c r="B1102"/>
      <c r="C1102"/>
      <c r="H1102"/>
      <c r="I1102"/>
      <c r="J1102"/>
      <c r="K1102"/>
      <c r="L1102"/>
      <c r="M1102"/>
      <c r="N1102"/>
      <c r="O1102"/>
      <c r="P1102"/>
    </row>
    <row r="1103" spans="1:16" ht="12" customHeight="1" x14ac:dyDescent="0.2">
      <c r="A1103"/>
      <c r="B1103"/>
      <c r="C1103"/>
      <c r="H1103"/>
      <c r="I1103"/>
      <c r="J1103"/>
      <c r="K1103"/>
      <c r="L1103"/>
      <c r="M1103"/>
      <c r="N1103"/>
      <c r="O1103"/>
      <c r="P1103"/>
    </row>
    <row r="1104" spans="1:16" ht="12" customHeight="1" x14ac:dyDescent="0.2">
      <c r="A1104"/>
      <c r="B1104"/>
      <c r="C1104"/>
      <c r="H1104"/>
      <c r="I1104"/>
      <c r="J1104"/>
      <c r="K1104"/>
      <c r="L1104"/>
      <c r="M1104"/>
      <c r="N1104"/>
      <c r="O1104"/>
      <c r="P1104"/>
    </row>
    <row r="1105" spans="1:16" ht="12" customHeight="1" x14ac:dyDescent="0.2">
      <c r="A1105"/>
      <c r="B1105"/>
      <c r="C1105"/>
      <c r="H1105"/>
      <c r="I1105"/>
      <c r="J1105"/>
      <c r="K1105"/>
      <c r="L1105"/>
      <c r="M1105"/>
      <c r="N1105"/>
      <c r="O1105"/>
      <c r="P1105"/>
    </row>
    <row r="1106" spans="1:16" x14ac:dyDescent="0.2">
      <c r="A1106"/>
      <c r="B1106"/>
      <c r="C1106"/>
      <c r="H1106"/>
      <c r="I1106"/>
      <c r="J1106"/>
      <c r="K1106"/>
      <c r="L1106"/>
      <c r="M1106"/>
      <c r="N1106"/>
      <c r="O1106"/>
      <c r="P1106"/>
    </row>
    <row r="1107" spans="1:16" ht="12" customHeight="1" x14ac:dyDescent="0.2">
      <c r="A1107"/>
      <c r="B1107"/>
      <c r="C1107"/>
      <c r="H1107"/>
      <c r="I1107"/>
      <c r="J1107"/>
      <c r="K1107"/>
      <c r="L1107"/>
      <c r="M1107"/>
      <c r="N1107"/>
      <c r="O1107"/>
      <c r="P1107"/>
    </row>
    <row r="1108" spans="1:16" ht="12" customHeight="1" x14ac:dyDescent="0.2">
      <c r="A1108"/>
      <c r="B1108"/>
      <c r="C1108"/>
      <c r="H1108"/>
      <c r="I1108"/>
      <c r="J1108"/>
      <c r="K1108"/>
      <c r="L1108"/>
      <c r="M1108"/>
      <c r="N1108"/>
      <c r="O1108"/>
      <c r="P1108"/>
    </row>
    <row r="1109" spans="1:16" ht="12" customHeight="1" x14ac:dyDescent="0.2">
      <c r="A1109"/>
      <c r="B1109"/>
      <c r="C1109"/>
      <c r="H1109"/>
      <c r="I1109"/>
      <c r="J1109"/>
      <c r="K1109"/>
      <c r="L1109"/>
      <c r="M1109"/>
      <c r="N1109"/>
      <c r="O1109"/>
      <c r="P1109"/>
    </row>
    <row r="1110" spans="1:16" ht="12" customHeight="1" x14ac:dyDescent="0.2">
      <c r="A1110"/>
      <c r="B1110"/>
      <c r="C1110"/>
      <c r="H1110"/>
      <c r="I1110"/>
      <c r="J1110"/>
      <c r="K1110"/>
      <c r="L1110"/>
      <c r="M1110"/>
      <c r="N1110"/>
      <c r="O1110"/>
      <c r="P1110"/>
    </row>
    <row r="1111" spans="1:16" ht="12" customHeight="1" x14ac:dyDescent="0.2">
      <c r="A1111"/>
      <c r="B1111"/>
      <c r="C1111"/>
      <c r="H1111"/>
      <c r="I1111"/>
      <c r="J1111"/>
      <c r="K1111"/>
      <c r="L1111"/>
      <c r="M1111"/>
      <c r="N1111"/>
      <c r="O1111"/>
      <c r="P1111"/>
    </row>
    <row r="1112" spans="1:16" ht="12" customHeight="1" x14ac:dyDescent="0.2">
      <c r="A1112"/>
      <c r="B1112"/>
      <c r="C1112"/>
      <c r="H1112"/>
      <c r="I1112"/>
      <c r="J1112"/>
      <c r="K1112"/>
      <c r="L1112"/>
      <c r="M1112"/>
      <c r="N1112"/>
      <c r="O1112"/>
      <c r="P1112"/>
    </row>
    <row r="1113" spans="1:16" ht="12" customHeight="1" x14ac:dyDescent="0.2">
      <c r="A1113"/>
      <c r="B1113"/>
      <c r="C1113"/>
      <c r="H1113"/>
      <c r="I1113"/>
      <c r="J1113"/>
      <c r="K1113"/>
      <c r="L1113"/>
      <c r="M1113"/>
      <c r="N1113"/>
      <c r="O1113"/>
      <c r="P1113"/>
    </row>
    <row r="1114" spans="1:16" x14ac:dyDescent="0.2">
      <c r="A1114"/>
      <c r="B1114"/>
      <c r="C1114"/>
      <c r="H1114"/>
      <c r="I1114"/>
      <c r="J1114"/>
      <c r="K1114"/>
      <c r="L1114"/>
      <c r="M1114"/>
      <c r="N1114"/>
      <c r="O1114"/>
      <c r="P1114"/>
    </row>
    <row r="1115" spans="1:16" s="485" customFormat="1" ht="24" customHeight="1" x14ac:dyDescent="0.2"/>
    <row r="1116" spans="1:16" x14ac:dyDescent="0.2">
      <c r="A1116"/>
      <c r="B1116"/>
      <c r="C1116"/>
      <c r="H1116"/>
      <c r="I1116"/>
      <c r="J1116"/>
      <c r="K1116"/>
      <c r="L1116"/>
      <c r="M1116"/>
      <c r="N1116"/>
      <c r="O1116"/>
      <c r="P1116"/>
    </row>
    <row r="1117" spans="1:16" ht="12" customHeight="1" x14ac:dyDescent="0.2">
      <c r="A1117"/>
      <c r="B1117"/>
      <c r="C1117"/>
      <c r="H1117"/>
      <c r="I1117"/>
      <c r="J1117"/>
      <c r="K1117"/>
      <c r="L1117"/>
      <c r="M1117"/>
      <c r="N1117"/>
      <c r="O1117"/>
      <c r="P1117"/>
    </row>
    <row r="1118" spans="1:16" x14ac:dyDescent="0.2">
      <c r="A1118"/>
      <c r="B1118"/>
      <c r="C1118"/>
      <c r="H1118"/>
      <c r="I1118"/>
      <c r="J1118"/>
      <c r="K1118"/>
      <c r="L1118"/>
      <c r="M1118"/>
      <c r="N1118"/>
      <c r="O1118"/>
      <c r="P1118"/>
    </row>
    <row r="1119" spans="1:16" x14ac:dyDescent="0.2">
      <c r="A1119"/>
      <c r="B1119"/>
      <c r="C1119"/>
      <c r="H1119"/>
      <c r="I1119"/>
      <c r="J1119"/>
      <c r="K1119"/>
      <c r="L1119"/>
      <c r="M1119"/>
      <c r="N1119"/>
      <c r="O1119"/>
      <c r="P1119"/>
    </row>
    <row r="1120" spans="1:16" x14ac:dyDescent="0.2">
      <c r="A1120"/>
      <c r="B1120"/>
      <c r="C1120"/>
      <c r="H1120"/>
      <c r="I1120"/>
      <c r="J1120"/>
      <c r="K1120"/>
      <c r="L1120"/>
      <c r="M1120"/>
      <c r="N1120"/>
      <c r="O1120"/>
      <c r="P1120"/>
    </row>
    <row r="1121" spans="1:16" s="485" customFormat="1" x14ac:dyDescent="0.2"/>
    <row r="1122" spans="1:16" x14ac:dyDescent="0.2">
      <c r="A1122"/>
      <c r="B1122"/>
      <c r="C1122"/>
      <c r="H1122"/>
      <c r="I1122"/>
      <c r="J1122"/>
      <c r="K1122"/>
      <c r="L1122"/>
      <c r="M1122"/>
      <c r="N1122"/>
      <c r="O1122"/>
      <c r="P1122"/>
    </row>
    <row r="1123" spans="1:16" ht="12" customHeight="1" x14ac:dyDescent="0.2">
      <c r="A1123"/>
      <c r="B1123"/>
      <c r="C1123"/>
      <c r="H1123"/>
      <c r="I1123"/>
      <c r="J1123"/>
      <c r="K1123"/>
      <c r="L1123"/>
      <c r="M1123"/>
      <c r="N1123"/>
      <c r="O1123"/>
      <c r="P1123"/>
    </row>
    <row r="1124" spans="1:16" ht="12" customHeight="1" x14ac:dyDescent="0.2">
      <c r="A1124"/>
      <c r="B1124"/>
      <c r="C1124"/>
      <c r="H1124"/>
      <c r="I1124"/>
      <c r="J1124"/>
      <c r="K1124"/>
      <c r="L1124"/>
      <c r="M1124"/>
      <c r="N1124"/>
      <c r="O1124"/>
      <c r="P1124"/>
    </row>
    <row r="1125" spans="1:16" ht="12" customHeight="1" x14ac:dyDescent="0.2">
      <c r="A1125"/>
      <c r="B1125"/>
      <c r="C1125"/>
      <c r="H1125"/>
      <c r="I1125"/>
      <c r="J1125"/>
      <c r="K1125"/>
      <c r="L1125"/>
      <c r="M1125"/>
      <c r="N1125"/>
      <c r="O1125"/>
      <c r="P1125"/>
    </row>
    <row r="1126" spans="1:16" ht="12" customHeight="1" x14ac:dyDescent="0.2">
      <c r="A1126"/>
      <c r="B1126"/>
      <c r="C1126"/>
      <c r="H1126"/>
      <c r="I1126"/>
      <c r="J1126"/>
      <c r="K1126"/>
      <c r="L1126"/>
      <c r="M1126"/>
      <c r="N1126"/>
      <c r="O1126"/>
      <c r="P1126"/>
    </row>
    <row r="1127" spans="1:16" ht="12" customHeight="1" x14ac:dyDescent="0.2">
      <c r="A1127"/>
      <c r="B1127"/>
      <c r="C1127"/>
      <c r="H1127"/>
      <c r="I1127"/>
      <c r="J1127"/>
      <c r="K1127"/>
      <c r="L1127"/>
      <c r="M1127"/>
      <c r="N1127"/>
      <c r="O1127"/>
      <c r="P1127"/>
    </row>
    <row r="1128" spans="1:16" ht="12" customHeight="1" x14ac:dyDescent="0.2">
      <c r="A1128"/>
      <c r="B1128"/>
      <c r="C1128"/>
      <c r="H1128"/>
      <c r="I1128"/>
      <c r="J1128"/>
      <c r="K1128"/>
      <c r="L1128"/>
      <c r="M1128"/>
      <c r="N1128"/>
      <c r="O1128"/>
      <c r="P1128"/>
    </row>
    <row r="1129" spans="1:16" ht="15" customHeight="1" x14ac:dyDescent="0.2">
      <c r="A1129"/>
      <c r="B1129"/>
      <c r="C1129"/>
      <c r="H1129"/>
      <c r="I1129"/>
      <c r="J1129"/>
      <c r="K1129"/>
      <c r="L1129"/>
      <c r="M1129"/>
      <c r="N1129"/>
      <c r="O1129"/>
      <c r="P1129"/>
    </row>
    <row r="1130" spans="1:16" x14ac:dyDescent="0.2">
      <c r="A1130"/>
      <c r="B1130"/>
      <c r="C1130"/>
      <c r="H1130"/>
      <c r="I1130"/>
      <c r="J1130"/>
      <c r="K1130"/>
      <c r="L1130"/>
      <c r="M1130"/>
      <c r="N1130"/>
      <c r="O1130"/>
      <c r="P1130"/>
    </row>
    <row r="1131" spans="1:16" ht="12" customHeight="1" x14ac:dyDescent="0.2">
      <c r="A1131"/>
      <c r="B1131"/>
      <c r="C1131"/>
      <c r="H1131"/>
      <c r="I1131"/>
      <c r="J1131"/>
      <c r="K1131"/>
      <c r="L1131"/>
      <c r="M1131"/>
      <c r="N1131"/>
      <c r="O1131"/>
      <c r="P1131"/>
    </row>
    <row r="1132" spans="1:16" ht="12" customHeight="1" x14ac:dyDescent="0.2">
      <c r="A1132"/>
      <c r="B1132"/>
      <c r="C1132"/>
      <c r="H1132"/>
      <c r="I1132"/>
      <c r="J1132"/>
      <c r="K1132"/>
      <c r="L1132"/>
      <c r="M1132"/>
      <c r="N1132"/>
      <c r="O1132"/>
      <c r="P1132"/>
    </row>
    <row r="1133" spans="1:16" ht="12" customHeight="1" x14ac:dyDescent="0.2">
      <c r="A1133"/>
      <c r="B1133"/>
      <c r="C1133"/>
      <c r="H1133"/>
      <c r="I1133"/>
      <c r="J1133"/>
      <c r="K1133"/>
      <c r="L1133"/>
      <c r="M1133"/>
      <c r="N1133"/>
      <c r="O1133"/>
      <c r="P1133"/>
    </row>
    <row r="1134" spans="1:16" ht="12" customHeight="1" x14ac:dyDescent="0.2">
      <c r="A1134"/>
      <c r="B1134"/>
      <c r="C1134"/>
      <c r="H1134"/>
      <c r="I1134"/>
      <c r="J1134"/>
      <c r="K1134"/>
      <c r="L1134"/>
      <c r="M1134"/>
      <c r="N1134"/>
      <c r="O1134"/>
      <c r="P1134"/>
    </row>
    <row r="1135" spans="1:16" ht="12" customHeight="1" x14ac:dyDescent="0.2">
      <c r="A1135"/>
      <c r="B1135"/>
      <c r="C1135"/>
      <c r="H1135"/>
      <c r="I1135"/>
      <c r="J1135"/>
      <c r="K1135"/>
      <c r="L1135"/>
      <c r="M1135"/>
      <c r="N1135"/>
      <c r="O1135"/>
      <c r="P1135"/>
    </row>
    <row r="1136" spans="1:16" ht="12" customHeight="1" x14ac:dyDescent="0.2">
      <c r="A1136"/>
      <c r="B1136"/>
      <c r="C1136"/>
      <c r="H1136"/>
      <c r="I1136"/>
      <c r="J1136"/>
      <c r="K1136"/>
      <c r="L1136"/>
      <c r="M1136"/>
      <c r="N1136"/>
      <c r="O1136"/>
      <c r="P1136"/>
    </row>
    <row r="1137" spans="1:16" ht="12" customHeight="1" x14ac:dyDescent="0.2">
      <c r="A1137"/>
      <c r="B1137"/>
      <c r="C1137"/>
      <c r="H1137"/>
      <c r="I1137"/>
      <c r="J1137"/>
      <c r="K1137"/>
      <c r="L1137"/>
      <c r="M1137"/>
      <c r="N1137"/>
      <c r="O1137"/>
      <c r="P1137"/>
    </row>
    <row r="1138" spans="1:16" ht="12" customHeight="1" x14ac:dyDescent="0.2">
      <c r="A1138"/>
      <c r="B1138"/>
      <c r="C1138"/>
      <c r="H1138"/>
      <c r="I1138"/>
      <c r="J1138"/>
      <c r="K1138"/>
      <c r="L1138"/>
      <c r="M1138"/>
      <c r="N1138"/>
      <c r="O1138"/>
      <c r="P1138"/>
    </row>
    <row r="1139" spans="1:16" ht="12" customHeight="1" x14ac:dyDescent="0.2">
      <c r="A1139"/>
      <c r="B1139"/>
      <c r="C1139"/>
      <c r="H1139"/>
      <c r="I1139"/>
      <c r="J1139"/>
      <c r="K1139"/>
      <c r="L1139"/>
      <c r="M1139"/>
      <c r="N1139"/>
      <c r="O1139"/>
      <c r="P1139"/>
    </row>
    <row r="1140" spans="1:16" ht="12" customHeight="1" x14ac:dyDescent="0.2">
      <c r="A1140"/>
      <c r="B1140"/>
      <c r="C1140"/>
      <c r="H1140"/>
      <c r="I1140"/>
      <c r="J1140"/>
      <c r="K1140"/>
      <c r="L1140"/>
      <c r="M1140"/>
      <c r="N1140"/>
      <c r="O1140"/>
      <c r="P1140"/>
    </row>
    <row r="1141" spans="1:16" ht="12" customHeight="1" x14ac:dyDescent="0.2">
      <c r="A1141"/>
      <c r="B1141"/>
      <c r="C1141"/>
      <c r="H1141"/>
      <c r="I1141"/>
      <c r="J1141"/>
      <c r="K1141"/>
      <c r="L1141"/>
      <c r="M1141"/>
      <c r="N1141"/>
      <c r="O1141"/>
      <c r="P1141"/>
    </row>
    <row r="1142" spans="1:16" ht="12" customHeight="1" x14ac:dyDescent="0.2">
      <c r="A1142"/>
      <c r="B1142"/>
      <c r="C1142"/>
      <c r="H1142"/>
      <c r="I1142"/>
      <c r="J1142"/>
      <c r="K1142"/>
      <c r="L1142"/>
      <c r="M1142"/>
      <c r="N1142"/>
      <c r="O1142"/>
      <c r="P1142"/>
    </row>
    <row r="1143" spans="1:16" ht="15" customHeight="1" x14ac:dyDescent="0.2">
      <c r="A1143"/>
      <c r="B1143"/>
      <c r="C1143"/>
      <c r="H1143"/>
      <c r="I1143"/>
      <c r="J1143"/>
      <c r="K1143"/>
      <c r="L1143"/>
      <c r="M1143"/>
      <c r="N1143"/>
      <c r="O1143"/>
      <c r="P1143"/>
    </row>
    <row r="1144" spans="1:16" ht="15" customHeight="1" x14ac:dyDescent="0.2">
      <c r="A1144"/>
      <c r="B1144"/>
      <c r="C1144"/>
      <c r="H1144"/>
      <c r="I1144"/>
      <c r="J1144"/>
      <c r="K1144"/>
      <c r="L1144"/>
      <c r="M1144"/>
      <c r="N1144"/>
      <c r="O1144"/>
      <c r="P1144"/>
    </row>
    <row r="1145" spans="1:16" ht="15" customHeight="1" x14ac:dyDescent="0.2">
      <c r="A1145"/>
      <c r="B1145"/>
      <c r="C1145"/>
      <c r="H1145"/>
      <c r="I1145"/>
      <c r="J1145"/>
      <c r="K1145"/>
      <c r="L1145"/>
      <c r="M1145"/>
      <c r="N1145"/>
      <c r="O1145"/>
      <c r="P1145"/>
    </row>
    <row r="1146" spans="1:16" ht="15" customHeight="1" x14ac:dyDescent="0.2">
      <c r="A1146"/>
      <c r="B1146"/>
      <c r="C1146"/>
      <c r="H1146"/>
      <c r="I1146"/>
      <c r="J1146"/>
      <c r="K1146"/>
      <c r="L1146"/>
      <c r="M1146"/>
      <c r="N1146"/>
      <c r="O1146"/>
      <c r="P1146"/>
    </row>
    <row r="1147" spans="1:16" ht="15" customHeight="1" x14ac:dyDescent="0.2">
      <c r="A1147"/>
      <c r="B1147"/>
      <c r="C1147"/>
      <c r="H1147"/>
      <c r="I1147"/>
      <c r="J1147"/>
      <c r="K1147"/>
      <c r="L1147"/>
      <c r="M1147"/>
      <c r="N1147"/>
      <c r="O1147"/>
      <c r="P1147"/>
    </row>
    <row r="1148" spans="1:16" ht="15" customHeight="1" x14ac:dyDescent="0.2">
      <c r="A1148"/>
      <c r="B1148"/>
      <c r="C1148"/>
      <c r="H1148"/>
      <c r="I1148"/>
      <c r="J1148"/>
      <c r="K1148"/>
      <c r="L1148"/>
      <c r="M1148"/>
      <c r="N1148"/>
      <c r="O1148"/>
      <c r="P1148"/>
    </row>
    <row r="1149" spans="1:16" ht="15" customHeight="1" x14ac:dyDescent="0.2">
      <c r="A1149"/>
      <c r="B1149"/>
      <c r="C1149"/>
      <c r="H1149"/>
      <c r="I1149"/>
      <c r="J1149"/>
      <c r="K1149"/>
      <c r="L1149"/>
      <c r="M1149"/>
      <c r="N1149"/>
      <c r="O1149"/>
      <c r="P1149"/>
    </row>
    <row r="1150" spans="1:16" ht="15" customHeight="1" x14ac:dyDescent="0.2">
      <c r="A1150"/>
      <c r="B1150"/>
      <c r="C1150"/>
      <c r="H1150"/>
      <c r="I1150"/>
      <c r="J1150"/>
      <c r="K1150"/>
      <c r="L1150"/>
      <c r="M1150"/>
      <c r="N1150"/>
      <c r="O1150"/>
      <c r="P1150"/>
    </row>
    <row r="1151" spans="1:16" ht="15" customHeight="1" x14ac:dyDescent="0.2">
      <c r="A1151"/>
      <c r="B1151"/>
      <c r="C1151"/>
      <c r="H1151"/>
      <c r="I1151"/>
      <c r="J1151"/>
      <c r="K1151"/>
      <c r="L1151"/>
      <c r="M1151"/>
      <c r="N1151"/>
      <c r="O1151"/>
      <c r="P1151"/>
    </row>
    <row r="1152" spans="1:16" ht="15" customHeight="1" x14ac:dyDescent="0.2">
      <c r="A1152"/>
      <c r="B1152"/>
      <c r="C1152"/>
      <c r="H1152"/>
      <c r="I1152"/>
      <c r="J1152"/>
      <c r="K1152"/>
      <c r="L1152"/>
      <c r="M1152"/>
      <c r="N1152"/>
      <c r="O1152"/>
      <c r="P1152"/>
    </row>
    <row r="1153" spans="1:16" ht="15" customHeight="1" x14ac:dyDescent="0.2">
      <c r="A1153"/>
      <c r="B1153"/>
      <c r="C1153"/>
      <c r="H1153"/>
      <c r="I1153"/>
      <c r="J1153"/>
      <c r="K1153"/>
      <c r="L1153"/>
      <c r="M1153"/>
      <c r="N1153"/>
      <c r="O1153"/>
      <c r="P1153"/>
    </row>
    <row r="1154" spans="1:16" ht="15" customHeight="1" x14ac:dyDescent="0.2">
      <c r="A1154"/>
      <c r="B1154"/>
      <c r="C1154"/>
      <c r="H1154"/>
      <c r="I1154"/>
      <c r="J1154"/>
      <c r="K1154"/>
      <c r="L1154"/>
      <c r="M1154"/>
      <c r="N1154"/>
      <c r="O1154"/>
      <c r="P1154"/>
    </row>
    <row r="1155" spans="1:16" ht="15" customHeight="1" x14ac:dyDescent="0.2">
      <c r="A1155"/>
      <c r="B1155"/>
      <c r="C1155"/>
      <c r="H1155"/>
      <c r="I1155"/>
      <c r="J1155"/>
      <c r="K1155"/>
      <c r="L1155"/>
      <c r="M1155"/>
      <c r="N1155"/>
      <c r="O1155"/>
      <c r="P1155"/>
    </row>
    <row r="1156" spans="1:16" ht="15" customHeight="1" x14ac:dyDescent="0.2">
      <c r="A1156"/>
      <c r="B1156"/>
      <c r="C1156"/>
      <c r="H1156"/>
      <c r="I1156"/>
      <c r="J1156"/>
      <c r="K1156"/>
      <c r="L1156"/>
      <c r="M1156"/>
      <c r="N1156"/>
      <c r="O1156"/>
      <c r="P1156"/>
    </row>
    <row r="1157" spans="1:16" ht="15" customHeight="1" x14ac:dyDescent="0.2">
      <c r="A1157"/>
      <c r="B1157"/>
      <c r="C1157"/>
      <c r="H1157"/>
      <c r="I1157"/>
      <c r="J1157"/>
      <c r="K1157"/>
      <c r="L1157"/>
      <c r="M1157"/>
      <c r="N1157"/>
      <c r="O1157"/>
      <c r="P1157"/>
    </row>
    <row r="1158" spans="1:16" ht="15" customHeight="1" x14ac:dyDescent="0.2">
      <c r="A1158"/>
      <c r="B1158"/>
      <c r="C1158"/>
      <c r="H1158"/>
      <c r="I1158"/>
      <c r="J1158"/>
      <c r="K1158"/>
      <c r="L1158"/>
      <c r="M1158"/>
      <c r="N1158"/>
      <c r="O1158"/>
      <c r="P1158"/>
    </row>
    <row r="1159" spans="1:16" ht="15" customHeight="1" x14ac:dyDescent="0.2">
      <c r="A1159"/>
      <c r="B1159"/>
      <c r="C1159"/>
      <c r="H1159"/>
      <c r="I1159"/>
      <c r="J1159"/>
      <c r="K1159"/>
      <c r="L1159"/>
      <c r="M1159"/>
      <c r="N1159"/>
      <c r="O1159"/>
      <c r="P1159"/>
    </row>
    <row r="1160" spans="1:16" ht="15" customHeight="1" x14ac:dyDescent="0.2">
      <c r="A1160"/>
      <c r="B1160"/>
      <c r="C1160"/>
      <c r="H1160"/>
      <c r="I1160"/>
      <c r="J1160"/>
      <c r="K1160"/>
      <c r="L1160"/>
      <c r="M1160"/>
      <c r="N1160"/>
      <c r="O1160"/>
      <c r="P1160"/>
    </row>
    <row r="1161" spans="1:16" ht="15" customHeight="1" x14ac:dyDescent="0.2">
      <c r="A1161"/>
      <c r="B1161"/>
      <c r="C1161"/>
      <c r="H1161"/>
      <c r="I1161"/>
      <c r="J1161"/>
      <c r="K1161"/>
      <c r="L1161"/>
      <c r="M1161"/>
      <c r="N1161"/>
      <c r="O1161"/>
      <c r="P1161"/>
    </row>
    <row r="1162" spans="1:16" ht="15" customHeight="1" x14ac:dyDescent="0.2">
      <c r="A1162"/>
      <c r="B1162"/>
      <c r="C1162"/>
      <c r="H1162"/>
      <c r="I1162"/>
      <c r="J1162"/>
      <c r="K1162"/>
      <c r="L1162"/>
      <c r="M1162"/>
      <c r="N1162"/>
      <c r="O1162"/>
      <c r="P1162"/>
    </row>
    <row r="1163" spans="1:16" ht="15" customHeight="1" x14ac:dyDescent="0.2">
      <c r="A1163"/>
      <c r="B1163"/>
      <c r="C1163"/>
      <c r="H1163"/>
      <c r="I1163"/>
      <c r="J1163"/>
      <c r="K1163"/>
      <c r="L1163"/>
      <c r="M1163"/>
      <c r="N1163"/>
      <c r="O1163"/>
      <c r="P1163"/>
    </row>
    <row r="1164" spans="1:16" ht="15" customHeight="1" x14ac:dyDescent="0.2">
      <c r="A1164"/>
      <c r="B1164"/>
      <c r="C1164"/>
      <c r="H1164"/>
      <c r="I1164"/>
      <c r="J1164"/>
      <c r="K1164"/>
      <c r="L1164"/>
      <c r="M1164"/>
      <c r="N1164"/>
      <c r="O1164"/>
      <c r="P1164"/>
    </row>
    <row r="1165" spans="1:16" ht="15" customHeight="1" x14ac:dyDescent="0.2">
      <c r="A1165"/>
      <c r="B1165"/>
      <c r="C1165"/>
      <c r="H1165"/>
      <c r="I1165"/>
      <c r="J1165"/>
      <c r="K1165"/>
      <c r="L1165"/>
      <c r="M1165"/>
      <c r="N1165"/>
      <c r="O1165"/>
      <c r="P1165"/>
    </row>
    <row r="1166" spans="1:16" ht="15" customHeight="1" x14ac:dyDescent="0.2">
      <c r="A1166"/>
      <c r="B1166"/>
      <c r="C1166"/>
      <c r="H1166"/>
      <c r="I1166"/>
      <c r="J1166"/>
      <c r="K1166"/>
      <c r="L1166"/>
      <c r="M1166"/>
      <c r="N1166"/>
      <c r="O1166"/>
      <c r="P1166"/>
    </row>
    <row r="1167" spans="1:16" ht="15" customHeight="1" x14ac:dyDescent="0.2">
      <c r="A1167"/>
      <c r="B1167"/>
      <c r="C1167"/>
      <c r="H1167"/>
      <c r="I1167"/>
      <c r="J1167"/>
      <c r="K1167"/>
      <c r="L1167"/>
      <c r="M1167"/>
      <c r="N1167"/>
      <c r="O1167"/>
      <c r="P1167"/>
    </row>
    <row r="1168" spans="1:16" ht="15" customHeight="1" x14ac:dyDescent="0.2">
      <c r="A1168"/>
      <c r="B1168"/>
      <c r="C1168"/>
      <c r="H1168"/>
      <c r="I1168"/>
      <c r="J1168"/>
      <c r="K1168"/>
      <c r="L1168"/>
      <c r="M1168"/>
      <c r="N1168"/>
      <c r="O1168"/>
      <c r="P1168"/>
    </row>
    <row r="1169" spans="1:16" ht="15" customHeight="1" x14ac:dyDescent="0.2">
      <c r="A1169"/>
      <c r="B1169"/>
      <c r="C1169"/>
      <c r="H1169"/>
      <c r="I1169"/>
      <c r="J1169"/>
      <c r="K1169"/>
      <c r="L1169"/>
      <c r="M1169"/>
      <c r="N1169"/>
      <c r="O1169"/>
      <c r="P1169"/>
    </row>
    <row r="1170" spans="1:16" ht="15" customHeight="1" x14ac:dyDescent="0.2">
      <c r="A1170"/>
      <c r="B1170"/>
      <c r="C1170"/>
      <c r="H1170"/>
      <c r="I1170"/>
      <c r="J1170"/>
      <c r="K1170"/>
      <c r="L1170"/>
      <c r="M1170"/>
      <c r="N1170"/>
      <c r="O1170"/>
      <c r="P1170"/>
    </row>
    <row r="1171" spans="1:16" ht="15" customHeight="1" x14ac:dyDescent="0.2">
      <c r="A1171"/>
      <c r="B1171"/>
      <c r="C1171"/>
      <c r="H1171"/>
      <c r="I1171"/>
      <c r="J1171"/>
      <c r="K1171"/>
      <c r="L1171"/>
      <c r="M1171"/>
      <c r="N1171"/>
      <c r="O1171"/>
      <c r="P1171"/>
    </row>
    <row r="1172" spans="1:16" ht="15" customHeight="1" x14ac:dyDescent="0.2">
      <c r="A1172"/>
      <c r="B1172"/>
      <c r="C1172"/>
      <c r="H1172"/>
      <c r="I1172"/>
      <c r="J1172"/>
      <c r="K1172"/>
      <c r="L1172"/>
      <c r="M1172"/>
      <c r="N1172"/>
      <c r="O1172"/>
      <c r="P1172"/>
    </row>
    <row r="1173" spans="1:16" ht="15" customHeight="1" x14ac:dyDescent="0.2">
      <c r="A1173"/>
      <c r="B1173"/>
      <c r="C1173"/>
      <c r="H1173"/>
      <c r="I1173"/>
      <c r="J1173"/>
      <c r="K1173"/>
      <c r="L1173"/>
      <c r="M1173"/>
      <c r="N1173"/>
      <c r="O1173"/>
      <c r="P1173"/>
    </row>
    <row r="1174" spans="1:16" ht="15" customHeight="1" x14ac:dyDescent="0.2">
      <c r="A1174"/>
      <c r="B1174"/>
      <c r="C1174"/>
      <c r="H1174"/>
      <c r="I1174"/>
      <c r="J1174"/>
      <c r="K1174"/>
      <c r="L1174"/>
      <c r="M1174"/>
      <c r="N1174"/>
      <c r="O1174"/>
      <c r="P1174"/>
    </row>
    <row r="1175" spans="1:16" ht="15" customHeight="1" x14ac:dyDescent="0.2">
      <c r="A1175"/>
      <c r="B1175"/>
      <c r="C1175"/>
      <c r="H1175"/>
      <c r="I1175"/>
      <c r="J1175"/>
      <c r="K1175"/>
      <c r="L1175"/>
      <c r="M1175"/>
      <c r="N1175"/>
      <c r="O1175"/>
      <c r="P1175"/>
    </row>
    <row r="1176" spans="1:16" ht="15" customHeight="1" x14ac:dyDescent="0.2">
      <c r="A1176"/>
      <c r="B1176"/>
      <c r="C1176"/>
      <c r="H1176"/>
      <c r="I1176"/>
      <c r="J1176"/>
      <c r="K1176"/>
      <c r="L1176"/>
      <c r="M1176"/>
      <c r="N1176"/>
      <c r="O1176"/>
      <c r="P1176"/>
    </row>
    <row r="1177" spans="1:16" ht="15" customHeight="1" x14ac:dyDescent="0.2">
      <c r="A1177"/>
      <c r="B1177"/>
      <c r="C1177"/>
      <c r="H1177"/>
      <c r="I1177"/>
      <c r="J1177"/>
      <c r="K1177"/>
      <c r="L1177"/>
      <c r="M1177"/>
      <c r="N1177"/>
      <c r="O1177"/>
      <c r="P1177"/>
    </row>
    <row r="1178" spans="1:16" ht="15" customHeight="1" x14ac:dyDescent="0.2">
      <c r="A1178"/>
      <c r="B1178"/>
      <c r="C1178"/>
      <c r="H1178"/>
      <c r="I1178"/>
      <c r="J1178"/>
      <c r="K1178"/>
      <c r="L1178"/>
      <c r="M1178"/>
      <c r="N1178"/>
      <c r="O1178"/>
      <c r="P1178"/>
    </row>
    <row r="1179" spans="1:16" ht="15" customHeight="1" x14ac:dyDescent="0.2">
      <c r="A1179"/>
      <c r="B1179"/>
      <c r="C1179"/>
      <c r="H1179"/>
      <c r="I1179"/>
      <c r="J1179"/>
      <c r="K1179"/>
      <c r="L1179"/>
      <c r="M1179"/>
      <c r="N1179"/>
      <c r="O1179"/>
      <c r="P1179"/>
    </row>
    <row r="1180" spans="1:16" ht="15" customHeight="1" x14ac:dyDescent="0.2">
      <c r="A1180"/>
      <c r="B1180"/>
      <c r="C1180"/>
      <c r="H1180"/>
      <c r="I1180"/>
      <c r="J1180"/>
      <c r="K1180"/>
      <c r="L1180"/>
      <c r="M1180"/>
      <c r="N1180"/>
      <c r="O1180"/>
      <c r="P1180"/>
    </row>
    <row r="1181" spans="1:16" ht="15" customHeight="1" x14ac:dyDescent="0.2">
      <c r="A1181"/>
      <c r="B1181"/>
      <c r="C1181"/>
      <c r="H1181"/>
      <c r="I1181"/>
      <c r="J1181"/>
      <c r="K1181"/>
      <c r="L1181"/>
      <c r="M1181"/>
      <c r="N1181"/>
      <c r="O1181"/>
      <c r="P1181"/>
    </row>
    <row r="1182" spans="1:16" ht="15" customHeight="1" x14ac:dyDescent="0.2">
      <c r="A1182"/>
      <c r="B1182"/>
      <c r="C1182"/>
      <c r="H1182"/>
      <c r="I1182"/>
      <c r="J1182"/>
      <c r="K1182"/>
      <c r="L1182"/>
      <c r="M1182"/>
      <c r="N1182"/>
      <c r="O1182"/>
      <c r="P1182"/>
    </row>
    <row r="1183" spans="1:16" ht="15" customHeight="1" x14ac:dyDescent="0.2">
      <c r="A1183"/>
      <c r="B1183"/>
      <c r="C1183"/>
      <c r="H1183"/>
      <c r="I1183"/>
      <c r="J1183"/>
      <c r="K1183"/>
      <c r="L1183"/>
      <c r="M1183"/>
      <c r="N1183"/>
      <c r="O1183"/>
      <c r="P1183"/>
    </row>
    <row r="1184" spans="1:16" ht="15" customHeight="1" x14ac:dyDescent="0.2">
      <c r="A1184"/>
      <c r="B1184"/>
      <c r="C1184"/>
      <c r="H1184"/>
      <c r="I1184"/>
      <c r="J1184"/>
      <c r="K1184"/>
      <c r="L1184"/>
      <c r="M1184"/>
      <c r="N1184"/>
      <c r="O1184"/>
      <c r="P1184"/>
    </row>
    <row r="1185" spans="1:16" ht="15" customHeight="1" x14ac:dyDescent="0.2">
      <c r="A1185"/>
      <c r="B1185"/>
      <c r="C1185"/>
      <c r="H1185"/>
      <c r="I1185"/>
      <c r="J1185"/>
      <c r="K1185"/>
      <c r="L1185"/>
      <c r="M1185"/>
      <c r="N1185"/>
      <c r="O1185"/>
      <c r="P1185"/>
    </row>
    <row r="1186" spans="1:16" ht="15" customHeight="1" x14ac:dyDescent="0.2">
      <c r="A1186"/>
      <c r="B1186"/>
      <c r="C1186"/>
      <c r="H1186"/>
      <c r="I1186"/>
      <c r="J1186"/>
      <c r="K1186"/>
      <c r="L1186"/>
      <c r="M1186"/>
      <c r="N1186"/>
      <c r="O1186"/>
      <c r="P1186"/>
    </row>
    <row r="1187" spans="1:16" ht="15" customHeight="1" x14ac:dyDescent="0.2">
      <c r="A1187"/>
      <c r="B1187"/>
      <c r="C1187"/>
      <c r="H1187"/>
      <c r="I1187"/>
      <c r="J1187"/>
      <c r="K1187"/>
      <c r="L1187"/>
      <c r="M1187"/>
      <c r="N1187"/>
      <c r="O1187"/>
      <c r="P1187"/>
    </row>
    <row r="1188" spans="1:16" ht="15" customHeight="1" x14ac:dyDescent="0.2">
      <c r="A1188"/>
      <c r="B1188"/>
      <c r="C1188"/>
      <c r="H1188"/>
      <c r="I1188"/>
      <c r="J1188"/>
      <c r="K1188"/>
      <c r="L1188"/>
      <c r="M1188"/>
      <c r="N1188"/>
      <c r="O1188"/>
      <c r="P1188"/>
    </row>
    <row r="1189" spans="1:16" ht="15" customHeight="1" x14ac:dyDescent="0.2">
      <c r="A1189"/>
      <c r="B1189"/>
      <c r="C1189"/>
      <c r="H1189"/>
      <c r="I1189"/>
      <c r="J1189"/>
      <c r="K1189"/>
      <c r="L1189"/>
      <c r="M1189"/>
      <c r="N1189"/>
      <c r="O1189"/>
      <c r="P1189"/>
    </row>
    <row r="1190" spans="1:16" ht="15" customHeight="1" x14ac:dyDescent="0.2">
      <c r="A1190"/>
      <c r="B1190"/>
      <c r="C1190"/>
      <c r="H1190"/>
      <c r="I1190"/>
      <c r="J1190"/>
      <c r="K1190"/>
      <c r="L1190"/>
      <c r="M1190"/>
      <c r="N1190"/>
      <c r="O1190"/>
      <c r="P1190"/>
    </row>
    <row r="1191" spans="1:16" ht="15" customHeight="1" x14ac:dyDescent="0.2">
      <c r="A1191"/>
      <c r="B1191"/>
      <c r="C1191"/>
      <c r="H1191"/>
      <c r="I1191"/>
      <c r="J1191"/>
      <c r="K1191"/>
      <c r="L1191"/>
      <c r="M1191"/>
      <c r="N1191"/>
      <c r="O1191"/>
      <c r="P1191"/>
    </row>
    <row r="1192" spans="1:16" ht="15" customHeight="1" x14ac:dyDescent="0.2">
      <c r="A1192"/>
      <c r="B1192"/>
      <c r="C1192"/>
      <c r="H1192"/>
      <c r="I1192"/>
      <c r="J1192"/>
      <c r="K1192"/>
      <c r="L1192"/>
      <c r="M1192"/>
      <c r="N1192"/>
      <c r="O1192"/>
      <c r="P1192"/>
    </row>
    <row r="1193" spans="1:16" ht="15" customHeight="1" x14ac:dyDescent="0.2">
      <c r="A1193"/>
      <c r="B1193"/>
      <c r="C1193"/>
      <c r="H1193"/>
      <c r="I1193"/>
      <c r="J1193"/>
      <c r="K1193"/>
      <c r="L1193"/>
      <c r="M1193"/>
      <c r="N1193"/>
      <c r="O1193"/>
      <c r="P1193"/>
    </row>
    <row r="1194" spans="1:16" ht="15" customHeight="1" x14ac:dyDescent="0.2">
      <c r="A1194"/>
      <c r="B1194"/>
      <c r="C1194"/>
      <c r="H1194"/>
      <c r="I1194"/>
      <c r="J1194"/>
      <c r="K1194"/>
      <c r="L1194"/>
      <c r="M1194"/>
      <c r="N1194"/>
      <c r="O1194"/>
      <c r="P1194"/>
    </row>
    <row r="1195" spans="1:16" ht="15" customHeight="1" x14ac:dyDescent="0.2">
      <c r="A1195"/>
      <c r="B1195"/>
      <c r="C1195"/>
      <c r="H1195"/>
      <c r="I1195"/>
      <c r="J1195"/>
      <c r="K1195"/>
      <c r="L1195"/>
      <c r="M1195"/>
      <c r="N1195"/>
      <c r="O1195"/>
      <c r="P1195"/>
    </row>
    <row r="1196" spans="1:16" ht="15" customHeight="1" x14ac:dyDescent="0.2">
      <c r="A1196"/>
      <c r="B1196"/>
      <c r="C1196"/>
      <c r="H1196"/>
      <c r="I1196"/>
      <c r="J1196"/>
      <c r="K1196"/>
      <c r="L1196"/>
      <c r="M1196"/>
      <c r="N1196"/>
      <c r="O1196"/>
      <c r="P1196"/>
    </row>
    <row r="1197" spans="1:16" ht="15" customHeight="1" x14ac:dyDescent="0.2">
      <c r="A1197"/>
      <c r="B1197"/>
      <c r="C1197"/>
      <c r="H1197"/>
      <c r="I1197"/>
      <c r="J1197"/>
      <c r="K1197"/>
      <c r="L1197"/>
      <c r="M1197"/>
      <c r="N1197"/>
      <c r="O1197"/>
      <c r="P1197"/>
    </row>
    <row r="1198" spans="1:16" ht="15" customHeight="1" x14ac:dyDescent="0.2">
      <c r="A1198"/>
      <c r="B1198"/>
      <c r="C1198"/>
      <c r="H1198"/>
      <c r="I1198"/>
      <c r="J1198"/>
      <c r="K1198"/>
      <c r="L1198"/>
      <c r="M1198"/>
      <c r="N1198"/>
      <c r="O1198"/>
      <c r="P1198"/>
    </row>
    <row r="1199" spans="1:16" ht="15" customHeight="1" x14ac:dyDescent="0.2">
      <c r="A1199"/>
      <c r="B1199"/>
      <c r="C1199"/>
      <c r="H1199"/>
      <c r="I1199"/>
      <c r="J1199"/>
      <c r="K1199"/>
      <c r="L1199"/>
      <c r="M1199"/>
      <c r="N1199"/>
      <c r="O1199"/>
      <c r="P1199"/>
    </row>
    <row r="1200" spans="1:16" ht="15" customHeight="1" x14ac:dyDescent="0.2">
      <c r="A1200"/>
      <c r="B1200"/>
      <c r="C1200"/>
      <c r="H1200"/>
      <c r="I1200"/>
      <c r="J1200"/>
      <c r="K1200"/>
      <c r="L1200"/>
      <c r="M1200"/>
      <c r="N1200"/>
      <c r="O1200"/>
      <c r="P1200"/>
    </row>
    <row r="1201" spans="1:16" ht="15" customHeight="1" x14ac:dyDescent="0.2">
      <c r="A1201"/>
      <c r="B1201"/>
      <c r="C1201"/>
      <c r="H1201"/>
      <c r="I1201"/>
      <c r="J1201"/>
      <c r="K1201"/>
      <c r="L1201"/>
      <c r="M1201"/>
      <c r="N1201"/>
      <c r="O1201"/>
      <c r="P1201"/>
    </row>
    <row r="1202" spans="1:16" ht="15" customHeight="1" x14ac:dyDescent="0.2">
      <c r="A1202"/>
      <c r="B1202"/>
      <c r="C1202"/>
      <c r="H1202"/>
      <c r="I1202"/>
      <c r="J1202"/>
      <c r="K1202"/>
      <c r="L1202"/>
      <c r="M1202"/>
      <c r="N1202"/>
      <c r="O1202"/>
      <c r="P1202"/>
    </row>
    <row r="1203" spans="1:16" ht="15" customHeight="1" x14ac:dyDescent="0.2">
      <c r="A1203"/>
      <c r="B1203"/>
      <c r="C1203"/>
      <c r="H1203"/>
      <c r="I1203"/>
      <c r="J1203"/>
      <c r="K1203"/>
      <c r="L1203"/>
      <c r="M1203"/>
      <c r="N1203"/>
      <c r="O1203"/>
      <c r="P1203"/>
    </row>
    <row r="1204" spans="1:16" ht="15" customHeight="1" x14ac:dyDescent="0.2">
      <c r="A1204"/>
      <c r="B1204"/>
      <c r="C1204"/>
      <c r="H1204"/>
      <c r="I1204"/>
      <c r="J1204"/>
      <c r="K1204"/>
      <c r="L1204"/>
      <c r="M1204"/>
      <c r="N1204"/>
      <c r="O1204"/>
      <c r="P1204"/>
    </row>
    <row r="1205" spans="1:16" ht="30" customHeight="1" x14ac:dyDescent="0.2">
      <c r="A1205"/>
      <c r="B1205"/>
      <c r="C1205"/>
      <c r="H1205"/>
      <c r="I1205"/>
      <c r="J1205"/>
      <c r="K1205"/>
      <c r="L1205"/>
      <c r="M1205"/>
      <c r="N1205"/>
      <c r="O1205"/>
      <c r="P1205"/>
    </row>
    <row r="1206" spans="1:16" ht="13.5" customHeight="1" x14ac:dyDescent="0.2">
      <c r="A1206"/>
      <c r="B1206"/>
      <c r="C1206"/>
      <c r="H1206"/>
      <c r="I1206"/>
      <c r="J1206"/>
      <c r="K1206"/>
      <c r="L1206"/>
      <c r="M1206"/>
      <c r="N1206"/>
      <c r="O1206"/>
      <c r="P1206"/>
    </row>
    <row r="1207" spans="1:16" ht="31.5" customHeight="1" x14ac:dyDescent="0.2">
      <c r="A1207"/>
      <c r="B1207"/>
      <c r="C1207"/>
      <c r="H1207"/>
      <c r="I1207"/>
      <c r="J1207"/>
      <c r="K1207"/>
      <c r="L1207"/>
      <c r="M1207"/>
      <c r="N1207"/>
      <c r="O1207"/>
      <c r="P1207"/>
    </row>
    <row r="1208" spans="1:16" ht="45.75" customHeight="1" x14ac:dyDescent="0.2">
      <c r="A1208"/>
      <c r="B1208"/>
      <c r="C1208"/>
      <c r="H1208"/>
      <c r="I1208"/>
      <c r="J1208"/>
      <c r="K1208"/>
      <c r="L1208"/>
      <c r="M1208"/>
      <c r="N1208"/>
      <c r="O1208"/>
      <c r="P1208"/>
    </row>
    <row r="1209" spans="1:16" x14ac:dyDescent="0.2">
      <c r="A1209"/>
      <c r="B1209"/>
      <c r="C1209"/>
      <c r="H1209"/>
      <c r="I1209"/>
      <c r="J1209"/>
      <c r="K1209"/>
      <c r="L1209"/>
      <c r="M1209"/>
      <c r="N1209"/>
      <c r="O1209"/>
      <c r="P1209"/>
    </row>
    <row r="1210" spans="1:16" x14ac:dyDescent="0.2">
      <c r="A1210"/>
      <c r="B1210"/>
      <c r="C1210"/>
      <c r="H1210"/>
      <c r="I1210"/>
      <c r="J1210"/>
      <c r="K1210"/>
      <c r="L1210"/>
      <c r="M1210"/>
      <c r="N1210"/>
      <c r="O1210"/>
      <c r="P1210"/>
    </row>
    <row r="1211" spans="1:16" ht="12" customHeight="1" x14ac:dyDescent="0.2">
      <c r="A1211"/>
      <c r="B1211"/>
      <c r="C1211"/>
      <c r="H1211"/>
      <c r="I1211"/>
      <c r="J1211"/>
      <c r="K1211"/>
      <c r="L1211"/>
      <c r="M1211"/>
      <c r="N1211"/>
      <c r="O1211"/>
      <c r="P1211"/>
    </row>
    <row r="1212" spans="1:16" ht="12" customHeight="1" x14ac:dyDescent="0.2">
      <c r="A1212"/>
      <c r="B1212"/>
      <c r="C1212"/>
      <c r="H1212"/>
      <c r="I1212"/>
      <c r="J1212"/>
      <c r="K1212"/>
      <c r="L1212"/>
      <c r="M1212"/>
      <c r="N1212"/>
      <c r="O1212"/>
      <c r="P1212"/>
    </row>
    <row r="1213" spans="1:16" ht="12" customHeight="1" x14ac:dyDescent="0.2">
      <c r="A1213"/>
      <c r="B1213"/>
      <c r="C1213"/>
      <c r="H1213"/>
      <c r="I1213"/>
      <c r="J1213"/>
      <c r="K1213"/>
      <c r="L1213"/>
      <c r="M1213"/>
      <c r="N1213"/>
      <c r="O1213"/>
      <c r="P1213"/>
    </row>
    <row r="1214" spans="1:16" ht="12" customHeight="1" x14ac:dyDescent="0.2">
      <c r="A1214"/>
      <c r="B1214"/>
      <c r="C1214"/>
      <c r="H1214"/>
      <c r="I1214"/>
      <c r="J1214"/>
      <c r="K1214"/>
      <c r="L1214"/>
      <c r="M1214"/>
      <c r="N1214"/>
      <c r="O1214"/>
      <c r="P1214"/>
    </row>
    <row r="1215" spans="1:16" ht="12" customHeight="1" x14ac:dyDescent="0.2">
      <c r="A1215"/>
      <c r="B1215"/>
      <c r="C1215"/>
      <c r="H1215"/>
      <c r="I1215"/>
      <c r="J1215"/>
      <c r="K1215"/>
      <c r="L1215"/>
      <c r="M1215"/>
      <c r="N1215"/>
      <c r="O1215"/>
      <c r="P1215"/>
    </row>
    <row r="1216" spans="1:16" ht="12" customHeight="1" x14ac:dyDescent="0.2">
      <c r="A1216"/>
      <c r="B1216"/>
      <c r="C1216"/>
      <c r="H1216"/>
      <c r="I1216"/>
      <c r="J1216"/>
      <c r="K1216"/>
      <c r="L1216"/>
      <c r="M1216"/>
      <c r="N1216"/>
      <c r="O1216"/>
      <c r="P1216"/>
    </row>
    <row r="1217" spans="1:16" ht="12" customHeight="1" x14ac:dyDescent="0.2">
      <c r="A1217"/>
      <c r="B1217"/>
      <c r="C1217"/>
      <c r="H1217"/>
      <c r="I1217"/>
      <c r="J1217"/>
      <c r="K1217"/>
      <c r="L1217"/>
      <c r="M1217"/>
      <c r="N1217"/>
      <c r="O1217"/>
      <c r="P1217"/>
    </row>
    <row r="1218" spans="1:16" ht="12" customHeight="1" x14ac:dyDescent="0.2">
      <c r="A1218"/>
      <c r="B1218"/>
      <c r="C1218"/>
      <c r="H1218"/>
      <c r="I1218"/>
      <c r="J1218"/>
      <c r="K1218"/>
      <c r="L1218"/>
      <c r="M1218"/>
      <c r="N1218"/>
      <c r="O1218"/>
      <c r="P1218"/>
    </row>
    <row r="1219" spans="1:16" x14ac:dyDescent="0.2">
      <c r="A1219"/>
      <c r="B1219"/>
      <c r="C1219"/>
      <c r="H1219"/>
      <c r="I1219"/>
      <c r="J1219"/>
      <c r="K1219"/>
      <c r="L1219"/>
      <c r="M1219"/>
      <c r="N1219"/>
      <c r="O1219"/>
      <c r="P1219"/>
    </row>
    <row r="1220" spans="1:16" x14ac:dyDescent="0.2">
      <c r="A1220"/>
      <c r="B1220"/>
      <c r="C1220"/>
      <c r="H1220"/>
      <c r="I1220"/>
      <c r="J1220"/>
      <c r="K1220"/>
      <c r="L1220"/>
      <c r="M1220"/>
      <c r="N1220"/>
      <c r="O1220"/>
      <c r="P1220"/>
    </row>
    <row r="1221" spans="1:16" x14ac:dyDescent="0.2">
      <c r="A1221"/>
      <c r="B1221"/>
      <c r="C1221"/>
      <c r="H1221"/>
      <c r="I1221"/>
      <c r="J1221"/>
      <c r="K1221"/>
      <c r="L1221"/>
      <c r="M1221"/>
      <c r="N1221"/>
      <c r="O1221"/>
      <c r="P1221"/>
    </row>
    <row r="1222" spans="1:16" x14ac:dyDescent="0.2">
      <c r="A1222"/>
      <c r="B1222"/>
      <c r="C1222"/>
      <c r="H1222"/>
      <c r="I1222"/>
      <c r="J1222"/>
      <c r="K1222"/>
      <c r="L1222"/>
      <c r="M1222"/>
      <c r="N1222"/>
      <c r="O1222"/>
      <c r="P1222"/>
    </row>
    <row r="1223" spans="1:16" x14ac:dyDescent="0.2">
      <c r="A1223"/>
      <c r="B1223"/>
      <c r="C1223"/>
      <c r="H1223"/>
      <c r="I1223"/>
      <c r="J1223"/>
      <c r="K1223"/>
      <c r="L1223"/>
      <c r="M1223"/>
      <c r="N1223"/>
      <c r="O1223"/>
      <c r="P1223"/>
    </row>
    <row r="1224" spans="1:16" x14ac:dyDescent="0.2">
      <c r="A1224"/>
      <c r="B1224"/>
      <c r="C1224"/>
      <c r="H1224"/>
      <c r="I1224"/>
      <c r="J1224"/>
      <c r="K1224"/>
      <c r="L1224"/>
      <c r="M1224"/>
      <c r="N1224"/>
      <c r="O1224"/>
      <c r="P1224"/>
    </row>
    <row r="1225" spans="1:16" x14ac:dyDescent="0.2">
      <c r="A1225"/>
      <c r="B1225"/>
      <c r="C1225"/>
      <c r="H1225"/>
      <c r="I1225"/>
      <c r="J1225"/>
      <c r="K1225"/>
      <c r="L1225"/>
      <c r="M1225"/>
      <c r="N1225"/>
      <c r="O1225"/>
      <c r="P1225"/>
    </row>
    <row r="1226" spans="1:16" x14ac:dyDescent="0.2">
      <c r="A1226"/>
      <c r="B1226"/>
      <c r="C1226"/>
      <c r="H1226"/>
      <c r="I1226"/>
      <c r="J1226"/>
      <c r="K1226"/>
      <c r="L1226"/>
      <c r="M1226"/>
      <c r="N1226"/>
      <c r="O1226"/>
      <c r="P1226"/>
    </row>
    <row r="1227" spans="1:16" x14ac:dyDescent="0.2">
      <c r="A1227"/>
      <c r="B1227"/>
      <c r="C1227"/>
      <c r="H1227"/>
      <c r="I1227"/>
      <c r="J1227"/>
      <c r="K1227"/>
      <c r="L1227"/>
      <c r="M1227"/>
      <c r="N1227"/>
      <c r="O1227"/>
      <c r="P1227"/>
    </row>
    <row r="1228" spans="1:16" x14ac:dyDescent="0.2">
      <c r="A1228"/>
      <c r="B1228"/>
      <c r="C1228"/>
      <c r="H1228"/>
      <c r="I1228"/>
      <c r="J1228"/>
      <c r="K1228"/>
      <c r="L1228"/>
      <c r="M1228"/>
      <c r="N1228"/>
      <c r="O1228"/>
      <c r="P1228"/>
    </row>
    <row r="1229" spans="1:16" x14ac:dyDescent="0.2">
      <c r="A1229"/>
      <c r="B1229"/>
      <c r="C1229"/>
      <c r="H1229"/>
      <c r="I1229"/>
      <c r="J1229"/>
      <c r="K1229"/>
      <c r="L1229"/>
      <c r="M1229"/>
      <c r="N1229"/>
      <c r="O1229"/>
      <c r="P1229"/>
    </row>
    <row r="1230" spans="1:16" x14ac:dyDescent="0.2">
      <c r="A1230"/>
      <c r="B1230"/>
      <c r="C1230"/>
      <c r="H1230"/>
      <c r="I1230"/>
      <c r="J1230"/>
      <c r="K1230"/>
      <c r="L1230"/>
      <c r="M1230"/>
      <c r="N1230"/>
      <c r="O1230"/>
      <c r="P1230"/>
    </row>
    <row r="1231" spans="1:16" x14ac:dyDescent="0.2">
      <c r="A1231"/>
      <c r="B1231"/>
      <c r="C1231"/>
      <c r="H1231"/>
      <c r="I1231"/>
      <c r="J1231"/>
      <c r="K1231"/>
      <c r="L1231"/>
      <c r="M1231"/>
      <c r="N1231"/>
      <c r="O1231"/>
      <c r="P1231"/>
    </row>
    <row r="1232" spans="1:16" x14ac:dyDescent="0.2">
      <c r="A1232"/>
      <c r="B1232"/>
      <c r="C1232"/>
      <c r="H1232"/>
      <c r="I1232"/>
      <c r="J1232"/>
      <c r="K1232"/>
      <c r="L1232"/>
      <c r="M1232"/>
      <c r="N1232"/>
      <c r="O1232"/>
      <c r="P1232"/>
    </row>
    <row r="1233" spans="1:16" x14ac:dyDescent="0.2">
      <c r="A1233"/>
      <c r="B1233"/>
      <c r="C1233"/>
      <c r="H1233"/>
      <c r="I1233"/>
      <c r="J1233"/>
      <c r="K1233"/>
      <c r="L1233"/>
      <c r="M1233"/>
      <c r="N1233"/>
      <c r="O1233"/>
      <c r="P1233"/>
    </row>
    <row r="1234" spans="1:16" x14ac:dyDescent="0.2">
      <c r="A1234"/>
      <c r="B1234"/>
      <c r="C1234"/>
      <c r="H1234"/>
      <c r="I1234"/>
      <c r="J1234"/>
      <c r="K1234"/>
      <c r="L1234"/>
      <c r="M1234"/>
      <c r="N1234"/>
      <c r="O1234"/>
      <c r="P1234"/>
    </row>
    <row r="1235" spans="1:16" x14ac:dyDescent="0.2">
      <c r="A1235"/>
      <c r="B1235"/>
      <c r="C1235"/>
      <c r="H1235"/>
      <c r="I1235"/>
      <c r="J1235"/>
      <c r="K1235"/>
      <c r="L1235"/>
      <c r="M1235"/>
      <c r="N1235"/>
      <c r="O1235"/>
      <c r="P1235"/>
    </row>
    <row r="1236" spans="1:16" ht="12" customHeight="1" x14ac:dyDescent="0.2">
      <c r="A1236"/>
      <c r="B1236"/>
      <c r="C1236"/>
      <c r="H1236"/>
      <c r="I1236"/>
      <c r="J1236"/>
      <c r="K1236"/>
      <c r="L1236"/>
      <c r="M1236"/>
      <c r="N1236"/>
      <c r="O1236"/>
      <c r="P1236"/>
    </row>
    <row r="1237" spans="1:16" ht="12" customHeight="1" x14ac:dyDescent="0.2">
      <c r="A1237"/>
      <c r="B1237"/>
      <c r="C1237"/>
      <c r="H1237"/>
      <c r="I1237"/>
      <c r="J1237"/>
      <c r="K1237"/>
      <c r="L1237"/>
      <c r="M1237"/>
      <c r="N1237"/>
      <c r="O1237"/>
      <c r="P1237"/>
    </row>
    <row r="1238" spans="1:16" ht="12" customHeight="1" x14ac:dyDescent="0.2">
      <c r="A1238"/>
      <c r="B1238"/>
      <c r="C1238"/>
      <c r="H1238"/>
      <c r="I1238"/>
      <c r="J1238"/>
      <c r="K1238"/>
      <c r="L1238"/>
      <c r="M1238"/>
      <c r="N1238"/>
      <c r="O1238"/>
      <c r="P1238"/>
    </row>
    <row r="1239" spans="1:16" ht="12" customHeight="1" x14ac:dyDescent="0.2">
      <c r="A1239"/>
      <c r="B1239"/>
      <c r="C1239"/>
      <c r="H1239"/>
      <c r="I1239"/>
      <c r="J1239"/>
      <c r="K1239"/>
      <c r="L1239"/>
      <c r="M1239"/>
      <c r="N1239"/>
      <c r="O1239"/>
      <c r="P1239"/>
    </row>
    <row r="1240" spans="1:16" ht="12" customHeight="1" x14ac:dyDescent="0.2">
      <c r="A1240"/>
      <c r="B1240"/>
      <c r="C1240"/>
      <c r="H1240"/>
      <c r="I1240"/>
      <c r="J1240"/>
      <c r="K1240"/>
      <c r="L1240"/>
      <c r="M1240"/>
      <c r="N1240"/>
      <c r="O1240"/>
      <c r="P1240"/>
    </row>
    <row r="1241" spans="1:16" ht="12" customHeight="1" x14ac:dyDescent="0.2">
      <c r="A1241"/>
      <c r="B1241"/>
      <c r="C1241"/>
      <c r="H1241"/>
      <c r="I1241"/>
      <c r="J1241"/>
      <c r="K1241"/>
      <c r="L1241"/>
      <c r="M1241"/>
      <c r="N1241"/>
      <c r="O1241"/>
      <c r="P1241"/>
    </row>
    <row r="1242" spans="1:16" ht="12" customHeight="1" x14ac:dyDescent="0.2">
      <c r="A1242"/>
      <c r="B1242"/>
      <c r="C1242"/>
      <c r="H1242"/>
      <c r="I1242"/>
      <c r="J1242"/>
      <c r="K1242"/>
      <c r="L1242"/>
      <c r="M1242"/>
      <c r="N1242"/>
      <c r="O1242"/>
      <c r="P1242"/>
    </row>
    <row r="1243" spans="1:16" x14ac:dyDescent="0.2">
      <c r="A1243"/>
      <c r="B1243"/>
      <c r="C1243"/>
      <c r="H1243"/>
      <c r="I1243"/>
      <c r="J1243"/>
      <c r="K1243"/>
      <c r="L1243"/>
      <c r="M1243"/>
      <c r="N1243"/>
      <c r="O1243"/>
      <c r="P1243"/>
    </row>
    <row r="1244" spans="1:16" x14ac:dyDescent="0.2">
      <c r="A1244"/>
      <c r="B1244"/>
      <c r="C1244"/>
      <c r="H1244"/>
      <c r="I1244"/>
      <c r="J1244"/>
      <c r="K1244"/>
      <c r="L1244"/>
      <c r="M1244"/>
      <c r="N1244"/>
      <c r="O1244"/>
      <c r="P1244"/>
    </row>
    <row r="1245" spans="1:16" ht="12" customHeight="1" x14ac:dyDescent="0.2">
      <c r="A1245"/>
      <c r="B1245"/>
      <c r="C1245"/>
      <c r="H1245"/>
      <c r="I1245"/>
      <c r="J1245"/>
      <c r="K1245"/>
      <c r="L1245"/>
      <c r="M1245"/>
      <c r="N1245"/>
      <c r="O1245"/>
      <c r="P1245"/>
    </row>
    <row r="1246" spans="1:16" ht="12" customHeight="1" x14ac:dyDescent="0.2">
      <c r="A1246"/>
      <c r="B1246"/>
      <c r="C1246"/>
      <c r="H1246"/>
      <c r="I1246"/>
      <c r="J1246"/>
      <c r="K1246"/>
      <c r="L1246"/>
      <c r="M1246"/>
      <c r="N1246"/>
      <c r="O1246"/>
      <c r="P1246"/>
    </row>
    <row r="1247" spans="1:16" ht="12" customHeight="1" x14ac:dyDescent="0.2">
      <c r="A1247"/>
      <c r="B1247"/>
      <c r="C1247"/>
      <c r="H1247"/>
      <c r="I1247"/>
      <c r="J1247"/>
      <c r="K1247"/>
      <c r="L1247"/>
      <c r="M1247"/>
      <c r="N1247"/>
      <c r="O1247"/>
      <c r="P1247"/>
    </row>
    <row r="1248" spans="1:16" ht="12" customHeight="1" x14ac:dyDescent="0.2">
      <c r="A1248"/>
      <c r="B1248"/>
      <c r="C1248"/>
      <c r="H1248"/>
      <c r="I1248"/>
      <c r="J1248"/>
      <c r="K1248"/>
      <c r="L1248"/>
      <c r="M1248"/>
      <c r="N1248"/>
      <c r="O1248"/>
      <c r="P1248"/>
    </row>
    <row r="1249" spans="1:16" ht="12" customHeight="1" x14ac:dyDescent="0.2">
      <c r="A1249"/>
      <c r="B1249"/>
      <c r="C1249"/>
      <c r="H1249"/>
      <c r="I1249"/>
      <c r="J1249"/>
      <c r="K1249"/>
      <c r="L1249"/>
      <c r="M1249"/>
      <c r="N1249"/>
      <c r="O1249"/>
      <c r="P1249"/>
    </row>
    <row r="1250" spans="1:16" ht="12" customHeight="1" x14ac:dyDescent="0.2">
      <c r="A1250"/>
      <c r="B1250"/>
      <c r="C1250"/>
      <c r="H1250"/>
      <c r="I1250"/>
      <c r="J1250"/>
      <c r="K1250"/>
      <c r="L1250"/>
      <c r="M1250"/>
      <c r="N1250"/>
      <c r="O1250"/>
      <c r="P1250"/>
    </row>
    <row r="1251" spans="1:16" ht="12" customHeight="1" x14ac:dyDescent="0.2">
      <c r="A1251"/>
      <c r="B1251"/>
      <c r="C1251"/>
      <c r="H1251"/>
      <c r="I1251"/>
      <c r="J1251"/>
      <c r="K1251"/>
      <c r="L1251"/>
      <c r="M1251"/>
      <c r="N1251"/>
      <c r="O1251"/>
      <c r="P1251"/>
    </row>
    <row r="1252" spans="1:16" ht="12" customHeight="1" x14ac:dyDescent="0.2">
      <c r="A1252"/>
      <c r="B1252"/>
      <c r="C1252"/>
      <c r="H1252"/>
      <c r="I1252"/>
      <c r="J1252"/>
      <c r="K1252"/>
      <c r="L1252"/>
      <c r="M1252"/>
      <c r="N1252"/>
      <c r="O1252"/>
      <c r="P1252"/>
    </row>
    <row r="1253" spans="1:16" ht="12" customHeight="1" x14ac:dyDescent="0.2">
      <c r="A1253"/>
      <c r="B1253"/>
      <c r="C1253"/>
      <c r="H1253"/>
      <c r="I1253"/>
      <c r="J1253"/>
      <c r="K1253"/>
      <c r="L1253"/>
      <c r="M1253"/>
      <c r="N1253"/>
      <c r="O1253"/>
      <c r="P1253"/>
    </row>
    <row r="1254" spans="1:16" ht="12" customHeight="1" x14ac:dyDescent="0.2">
      <c r="A1254"/>
      <c r="B1254"/>
      <c r="C1254"/>
      <c r="H1254"/>
      <c r="I1254"/>
      <c r="J1254"/>
      <c r="K1254"/>
      <c r="L1254"/>
      <c r="M1254"/>
      <c r="N1254"/>
      <c r="O1254"/>
      <c r="P1254"/>
    </row>
    <row r="1255" spans="1:16" ht="12" customHeight="1" x14ac:dyDescent="0.2">
      <c r="A1255"/>
      <c r="B1255"/>
      <c r="C1255"/>
      <c r="H1255"/>
      <c r="I1255"/>
      <c r="J1255"/>
      <c r="K1255"/>
      <c r="L1255"/>
      <c r="M1255"/>
      <c r="N1255"/>
      <c r="O1255"/>
      <c r="P1255"/>
    </row>
    <row r="1256" spans="1:16" ht="12" customHeight="1" x14ac:dyDescent="0.2">
      <c r="A1256"/>
      <c r="B1256"/>
      <c r="C1256"/>
      <c r="H1256"/>
      <c r="I1256"/>
      <c r="J1256"/>
      <c r="K1256"/>
      <c r="L1256"/>
      <c r="M1256"/>
      <c r="N1256"/>
      <c r="O1256"/>
      <c r="P1256"/>
    </row>
    <row r="1257" spans="1:16" ht="12" customHeight="1" x14ac:dyDescent="0.2">
      <c r="A1257"/>
      <c r="B1257"/>
      <c r="C1257"/>
      <c r="H1257"/>
      <c r="I1257"/>
      <c r="J1257"/>
      <c r="K1257"/>
      <c r="L1257"/>
      <c r="M1257"/>
      <c r="N1257"/>
      <c r="O1257"/>
      <c r="P1257"/>
    </row>
    <row r="1258" spans="1:16" ht="12" customHeight="1" x14ac:dyDescent="0.2">
      <c r="A1258"/>
      <c r="B1258"/>
      <c r="C1258"/>
      <c r="H1258"/>
      <c r="I1258"/>
      <c r="J1258"/>
      <c r="K1258"/>
      <c r="L1258"/>
      <c r="M1258"/>
      <c r="N1258"/>
      <c r="O1258"/>
      <c r="P1258"/>
    </row>
    <row r="1259" spans="1:16" ht="12" customHeight="1" x14ac:dyDescent="0.2">
      <c r="A1259"/>
      <c r="B1259"/>
      <c r="C1259"/>
      <c r="H1259"/>
      <c r="I1259"/>
      <c r="J1259"/>
      <c r="K1259"/>
      <c r="L1259"/>
      <c r="M1259"/>
      <c r="N1259"/>
      <c r="O1259"/>
      <c r="P1259"/>
    </row>
    <row r="1260" spans="1:16" ht="12" customHeight="1" x14ac:dyDescent="0.2">
      <c r="A1260"/>
      <c r="B1260"/>
      <c r="C1260"/>
      <c r="H1260"/>
      <c r="I1260"/>
      <c r="J1260"/>
      <c r="K1260"/>
      <c r="L1260"/>
      <c r="M1260"/>
      <c r="N1260"/>
      <c r="O1260"/>
      <c r="P1260"/>
    </row>
    <row r="1261" spans="1:16" ht="12" customHeight="1" x14ac:dyDescent="0.2">
      <c r="A1261"/>
      <c r="B1261"/>
      <c r="C1261"/>
      <c r="H1261"/>
      <c r="I1261"/>
      <c r="J1261"/>
      <c r="K1261"/>
      <c r="L1261"/>
      <c r="M1261"/>
      <c r="N1261"/>
      <c r="O1261"/>
      <c r="P1261"/>
    </row>
    <row r="1262" spans="1:16" ht="12" customHeight="1" x14ac:dyDescent="0.2">
      <c r="A1262"/>
      <c r="B1262"/>
      <c r="C1262"/>
      <c r="H1262"/>
      <c r="I1262"/>
      <c r="J1262"/>
      <c r="K1262"/>
      <c r="L1262"/>
      <c r="M1262"/>
      <c r="N1262"/>
      <c r="O1262"/>
      <c r="P1262"/>
    </row>
    <row r="1263" spans="1:16" ht="12" customHeight="1" x14ac:dyDescent="0.2">
      <c r="A1263"/>
      <c r="B1263"/>
      <c r="C1263"/>
      <c r="H1263"/>
      <c r="I1263"/>
      <c r="J1263"/>
      <c r="K1263"/>
      <c r="L1263"/>
      <c r="M1263"/>
      <c r="N1263"/>
      <c r="O1263"/>
      <c r="P1263"/>
    </row>
    <row r="1264" spans="1:16" ht="12" customHeight="1" x14ac:dyDescent="0.2">
      <c r="A1264"/>
      <c r="B1264"/>
      <c r="C1264"/>
      <c r="H1264"/>
      <c r="I1264"/>
      <c r="J1264"/>
      <c r="K1264"/>
      <c r="L1264"/>
      <c r="M1264"/>
      <c r="N1264"/>
      <c r="O1264"/>
      <c r="P1264"/>
    </row>
    <row r="1265" spans="1:16" ht="12" customHeight="1" x14ac:dyDescent="0.2">
      <c r="A1265"/>
      <c r="B1265"/>
      <c r="C1265"/>
      <c r="H1265"/>
      <c r="I1265"/>
      <c r="J1265"/>
      <c r="K1265"/>
      <c r="L1265"/>
      <c r="M1265"/>
      <c r="N1265"/>
      <c r="O1265"/>
      <c r="P1265"/>
    </row>
    <row r="1266" spans="1:16" ht="12" customHeight="1" x14ac:dyDescent="0.2">
      <c r="A1266"/>
      <c r="B1266"/>
      <c r="C1266"/>
      <c r="H1266"/>
      <c r="I1266"/>
      <c r="J1266"/>
      <c r="K1266"/>
      <c r="L1266"/>
      <c r="M1266"/>
      <c r="N1266"/>
      <c r="O1266"/>
      <c r="P1266"/>
    </row>
    <row r="1267" spans="1:16" ht="12" customHeight="1" x14ac:dyDescent="0.2">
      <c r="A1267"/>
      <c r="B1267"/>
      <c r="C1267"/>
      <c r="H1267"/>
      <c r="I1267"/>
      <c r="J1267"/>
      <c r="K1267"/>
      <c r="L1267"/>
      <c r="M1267"/>
      <c r="N1267"/>
      <c r="O1267"/>
      <c r="P1267"/>
    </row>
    <row r="1268" spans="1:16" ht="12" customHeight="1" x14ac:dyDescent="0.2">
      <c r="A1268"/>
      <c r="B1268"/>
      <c r="C1268"/>
      <c r="H1268"/>
      <c r="I1268"/>
      <c r="J1268"/>
      <c r="K1268"/>
      <c r="L1268"/>
      <c r="M1268"/>
      <c r="N1268"/>
      <c r="O1268"/>
      <c r="P1268"/>
    </row>
    <row r="1269" spans="1:16" ht="12" customHeight="1" x14ac:dyDescent="0.2">
      <c r="A1269"/>
      <c r="B1269"/>
      <c r="C1269"/>
      <c r="H1269"/>
      <c r="I1269"/>
      <c r="J1269"/>
      <c r="K1269"/>
      <c r="L1269"/>
      <c r="M1269"/>
      <c r="N1269"/>
      <c r="O1269"/>
      <c r="P1269"/>
    </row>
    <row r="1270" spans="1:16" ht="12" customHeight="1" x14ac:dyDescent="0.2">
      <c r="A1270"/>
      <c r="B1270"/>
      <c r="C1270"/>
      <c r="H1270"/>
      <c r="I1270"/>
      <c r="J1270"/>
      <c r="K1270"/>
      <c r="L1270"/>
      <c r="M1270"/>
      <c r="N1270"/>
      <c r="O1270"/>
      <c r="P1270"/>
    </row>
    <row r="1271" spans="1:16" ht="12" customHeight="1" x14ac:dyDescent="0.2">
      <c r="A1271"/>
      <c r="B1271"/>
      <c r="C1271"/>
      <c r="H1271"/>
      <c r="I1271"/>
      <c r="J1271"/>
      <c r="K1271"/>
      <c r="L1271"/>
      <c r="M1271"/>
      <c r="N1271"/>
      <c r="O1271"/>
      <c r="P1271"/>
    </row>
    <row r="1272" spans="1:16" ht="12" customHeight="1" x14ac:dyDescent="0.2">
      <c r="A1272"/>
      <c r="B1272"/>
      <c r="C1272"/>
      <c r="H1272"/>
      <c r="I1272"/>
      <c r="J1272"/>
      <c r="K1272"/>
      <c r="L1272"/>
      <c r="M1272"/>
      <c r="N1272"/>
      <c r="O1272"/>
      <c r="P1272"/>
    </row>
    <row r="1273" spans="1:16" ht="12" customHeight="1" x14ac:dyDescent="0.2">
      <c r="A1273"/>
      <c r="B1273"/>
      <c r="C1273"/>
      <c r="H1273"/>
      <c r="I1273"/>
      <c r="J1273"/>
      <c r="K1273"/>
      <c r="L1273"/>
      <c r="M1273"/>
      <c r="N1273"/>
      <c r="O1273"/>
      <c r="P1273"/>
    </row>
    <row r="1274" spans="1:16" ht="12" customHeight="1" x14ac:dyDescent="0.2">
      <c r="A1274"/>
      <c r="B1274"/>
      <c r="C1274"/>
      <c r="H1274"/>
      <c r="I1274"/>
      <c r="J1274"/>
      <c r="K1274"/>
      <c r="L1274"/>
      <c r="M1274"/>
      <c r="N1274"/>
      <c r="O1274"/>
      <c r="P1274"/>
    </row>
    <row r="1275" spans="1:16" ht="12" customHeight="1" x14ac:dyDescent="0.2">
      <c r="A1275"/>
      <c r="B1275"/>
      <c r="C1275"/>
      <c r="H1275"/>
      <c r="I1275"/>
      <c r="J1275"/>
      <c r="K1275"/>
      <c r="L1275"/>
      <c r="M1275"/>
      <c r="N1275"/>
      <c r="O1275"/>
      <c r="P1275"/>
    </row>
    <row r="1276" spans="1:16" ht="12" customHeight="1" x14ac:dyDescent="0.2">
      <c r="A1276"/>
      <c r="B1276"/>
      <c r="C1276"/>
      <c r="H1276"/>
      <c r="I1276"/>
      <c r="J1276"/>
      <c r="K1276"/>
      <c r="L1276"/>
      <c r="M1276"/>
      <c r="N1276"/>
      <c r="O1276"/>
      <c r="P1276"/>
    </row>
    <row r="1277" spans="1:16" ht="12" customHeight="1" x14ac:dyDescent="0.2">
      <c r="A1277"/>
      <c r="B1277"/>
      <c r="C1277"/>
      <c r="H1277"/>
      <c r="I1277"/>
      <c r="J1277"/>
      <c r="K1277"/>
      <c r="L1277"/>
      <c r="M1277"/>
      <c r="N1277"/>
      <c r="O1277"/>
      <c r="P1277"/>
    </row>
    <row r="1278" spans="1:16" ht="12" customHeight="1" x14ac:dyDescent="0.2">
      <c r="A1278"/>
      <c r="B1278"/>
      <c r="C1278"/>
      <c r="H1278"/>
      <c r="I1278"/>
      <c r="J1278"/>
      <c r="K1278"/>
      <c r="L1278"/>
      <c r="M1278"/>
      <c r="N1278"/>
      <c r="O1278"/>
      <c r="P1278"/>
    </row>
    <row r="1279" spans="1:16" ht="12" customHeight="1" x14ac:dyDescent="0.2">
      <c r="A1279"/>
      <c r="B1279"/>
      <c r="C1279"/>
      <c r="H1279"/>
      <c r="I1279"/>
      <c r="J1279"/>
      <c r="K1279"/>
      <c r="L1279"/>
      <c r="M1279"/>
      <c r="N1279"/>
      <c r="O1279"/>
      <c r="P1279"/>
    </row>
    <row r="1280" spans="1:16" ht="12" customHeight="1" x14ac:dyDescent="0.2">
      <c r="A1280"/>
      <c r="B1280"/>
      <c r="C1280"/>
      <c r="H1280"/>
      <c r="I1280"/>
      <c r="J1280"/>
      <c r="K1280"/>
      <c r="L1280"/>
      <c r="M1280"/>
      <c r="N1280"/>
      <c r="O1280"/>
      <c r="P1280"/>
    </row>
    <row r="1281" spans="1:16" ht="12" customHeight="1" x14ac:dyDescent="0.2">
      <c r="A1281"/>
      <c r="B1281"/>
      <c r="C1281"/>
      <c r="H1281"/>
      <c r="I1281"/>
      <c r="J1281"/>
      <c r="K1281"/>
      <c r="L1281"/>
      <c r="M1281"/>
      <c r="N1281"/>
      <c r="O1281"/>
      <c r="P1281"/>
    </row>
    <row r="1282" spans="1:16" x14ac:dyDescent="0.2">
      <c r="A1282"/>
      <c r="B1282"/>
      <c r="C1282"/>
      <c r="H1282"/>
      <c r="I1282"/>
      <c r="J1282"/>
      <c r="K1282"/>
      <c r="L1282"/>
      <c r="M1282"/>
      <c r="N1282"/>
      <c r="O1282"/>
      <c r="P1282"/>
    </row>
    <row r="1283" spans="1:16" ht="12" customHeight="1" x14ac:dyDescent="0.2">
      <c r="A1283"/>
      <c r="B1283"/>
      <c r="C1283"/>
      <c r="H1283"/>
      <c r="I1283"/>
      <c r="J1283"/>
      <c r="K1283"/>
      <c r="L1283"/>
      <c r="M1283"/>
      <c r="N1283"/>
      <c r="O1283"/>
      <c r="P1283"/>
    </row>
    <row r="1284" spans="1:16" ht="12" customHeight="1" x14ac:dyDescent="0.2">
      <c r="A1284"/>
      <c r="B1284"/>
      <c r="C1284"/>
      <c r="H1284"/>
      <c r="I1284"/>
      <c r="J1284"/>
      <c r="K1284"/>
      <c r="L1284"/>
      <c r="M1284"/>
      <c r="N1284"/>
      <c r="O1284"/>
      <c r="P1284"/>
    </row>
    <row r="1285" spans="1:16" ht="12" customHeight="1" x14ac:dyDescent="0.2">
      <c r="A1285"/>
      <c r="B1285"/>
      <c r="C1285"/>
      <c r="H1285"/>
      <c r="I1285"/>
      <c r="J1285"/>
      <c r="K1285"/>
      <c r="L1285"/>
      <c r="M1285"/>
      <c r="N1285"/>
      <c r="O1285"/>
      <c r="P1285"/>
    </row>
    <row r="1286" spans="1:16" ht="12" customHeight="1" x14ac:dyDescent="0.2">
      <c r="A1286"/>
      <c r="B1286"/>
      <c r="C1286"/>
      <c r="H1286"/>
      <c r="I1286"/>
      <c r="J1286"/>
      <c r="K1286"/>
      <c r="L1286"/>
      <c r="M1286"/>
      <c r="N1286"/>
      <c r="O1286"/>
      <c r="P1286"/>
    </row>
    <row r="1287" spans="1:16" ht="12" customHeight="1" x14ac:dyDescent="0.2">
      <c r="A1287"/>
      <c r="B1287"/>
      <c r="C1287"/>
      <c r="H1287"/>
      <c r="I1287"/>
      <c r="J1287"/>
      <c r="K1287"/>
      <c r="L1287"/>
      <c r="M1287"/>
      <c r="N1287"/>
      <c r="O1287"/>
      <c r="P1287"/>
    </row>
    <row r="1288" spans="1:16" ht="12" customHeight="1" x14ac:dyDescent="0.2">
      <c r="A1288"/>
      <c r="B1288"/>
      <c r="C1288"/>
      <c r="H1288"/>
      <c r="I1288"/>
      <c r="J1288"/>
      <c r="K1288"/>
      <c r="L1288"/>
      <c r="M1288"/>
      <c r="N1288"/>
      <c r="O1288"/>
      <c r="P1288"/>
    </row>
    <row r="1289" spans="1:16" ht="12" customHeight="1" x14ac:dyDescent="0.2">
      <c r="A1289"/>
      <c r="B1289"/>
      <c r="C1289"/>
      <c r="H1289"/>
      <c r="I1289"/>
      <c r="J1289"/>
      <c r="K1289"/>
      <c r="L1289"/>
      <c r="M1289"/>
      <c r="N1289"/>
      <c r="O1289"/>
      <c r="P1289"/>
    </row>
    <row r="1290" spans="1:16" ht="12" customHeight="1" x14ac:dyDescent="0.2">
      <c r="A1290"/>
      <c r="B1290"/>
      <c r="C1290"/>
      <c r="H1290"/>
      <c r="I1290"/>
      <c r="J1290"/>
      <c r="K1290"/>
      <c r="L1290"/>
      <c r="M1290"/>
      <c r="N1290"/>
      <c r="O1290"/>
      <c r="P1290"/>
    </row>
    <row r="1291" spans="1:16" ht="12" customHeight="1" x14ac:dyDescent="0.2">
      <c r="A1291"/>
      <c r="B1291"/>
      <c r="C1291"/>
      <c r="H1291"/>
      <c r="I1291"/>
      <c r="J1291"/>
      <c r="K1291"/>
      <c r="L1291"/>
      <c r="M1291"/>
      <c r="N1291"/>
      <c r="O1291"/>
      <c r="P1291"/>
    </row>
    <row r="1292" spans="1:16" ht="12" customHeight="1" x14ac:dyDescent="0.2">
      <c r="A1292"/>
      <c r="B1292"/>
      <c r="C1292"/>
      <c r="H1292"/>
      <c r="I1292"/>
      <c r="J1292"/>
      <c r="K1292"/>
      <c r="L1292"/>
      <c r="M1292"/>
      <c r="N1292"/>
      <c r="O1292"/>
      <c r="P1292"/>
    </row>
    <row r="1293" spans="1:16" ht="12" customHeight="1" x14ac:dyDescent="0.2">
      <c r="A1293"/>
      <c r="B1293"/>
      <c r="C1293"/>
      <c r="H1293"/>
      <c r="I1293"/>
      <c r="J1293"/>
      <c r="K1293"/>
      <c r="L1293"/>
      <c r="M1293"/>
      <c r="N1293"/>
      <c r="O1293"/>
      <c r="P1293"/>
    </row>
    <row r="1294" spans="1:16" ht="12" customHeight="1" x14ac:dyDescent="0.2">
      <c r="A1294"/>
      <c r="B1294"/>
      <c r="C1294"/>
      <c r="H1294"/>
      <c r="I1294"/>
      <c r="J1294"/>
      <c r="K1294"/>
      <c r="L1294"/>
      <c r="M1294"/>
      <c r="N1294"/>
      <c r="O1294"/>
      <c r="P1294"/>
    </row>
    <row r="1295" spans="1:16" ht="12" customHeight="1" x14ac:dyDescent="0.2">
      <c r="A1295"/>
      <c r="B1295"/>
      <c r="C1295"/>
      <c r="H1295"/>
      <c r="I1295"/>
      <c r="J1295"/>
      <c r="K1295"/>
      <c r="L1295"/>
      <c r="M1295"/>
      <c r="N1295"/>
      <c r="O1295"/>
      <c r="P1295"/>
    </row>
    <row r="1296" spans="1:16" ht="12" customHeight="1" x14ac:dyDescent="0.2">
      <c r="A1296"/>
      <c r="B1296"/>
      <c r="C1296"/>
      <c r="H1296"/>
      <c r="I1296"/>
      <c r="J1296"/>
      <c r="K1296"/>
      <c r="L1296"/>
      <c r="M1296"/>
      <c r="N1296"/>
      <c r="O1296"/>
      <c r="P1296"/>
    </row>
    <row r="1297" spans="1:16" x14ac:dyDescent="0.2">
      <c r="A1297"/>
      <c r="B1297"/>
      <c r="C1297"/>
      <c r="H1297"/>
      <c r="I1297"/>
      <c r="J1297"/>
      <c r="K1297"/>
      <c r="L1297"/>
      <c r="M1297"/>
      <c r="N1297"/>
      <c r="O1297"/>
      <c r="P1297"/>
    </row>
    <row r="1298" spans="1:16" x14ac:dyDescent="0.2">
      <c r="A1298"/>
      <c r="B1298"/>
      <c r="C1298"/>
      <c r="H1298"/>
      <c r="I1298"/>
      <c r="J1298"/>
      <c r="K1298"/>
      <c r="L1298"/>
      <c r="M1298"/>
      <c r="N1298"/>
      <c r="O1298"/>
      <c r="P1298"/>
    </row>
    <row r="1299" spans="1:16" ht="12" customHeight="1" x14ac:dyDescent="0.2">
      <c r="A1299"/>
      <c r="B1299"/>
      <c r="C1299"/>
      <c r="H1299"/>
      <c r="I1299"/>
      <c r="J1299"/>
      <c r="K1299"/>
      <c r="L1299"/>
      <c r="M1299"/>
      <c r="N1299"/>
      <c r="O1299"/>
      <c r="P1299"/>
    </row>
    <row r="1300" spans="1:16" ht="12" customHeight="1" x14ac:dyDescent="0.2">
      <c r="A1300"/>
      <c r="B1300"/>
      <c r="C1300"/>
      <c r="H1300"/>
      <c r="I1300"/>
      <c r="J1300"/>
      <c r="K1300"/>
      <c r="L1300"/>
      <c r="M1300"/>
      <c r="N1300"/>
      <c r="O1300"/>
      <c r="P1300"/>
    </row>
    <row r="1301" spans="1:16" ht="12" customHeight="1" x14ac:dyDescent="0.2">
      <c r="A1301"/>
      <c r="B1301"/>
      <c r="C1301"/>
      <c r="H1301"/>
      <c r="I1301"/>
      <c r="J1301"/>
      <c r="K1301"/>
      <c r="L1301"/>
      <c r="M1301"/>
      <c r="N1301"/>
      <c r="O1301"/>
      <c r="P1301"/>
    </row>
    <row r="1302" spans="1:16" ht="12" customHeight="1" x14ac:dyDescent="0.2">
      <c r="A1302"/>
      <c r="B1302"/>
      <c r="C1302"/>
      <c r="H1302"/>
      <c r="I1302"/>
      <c r="J1302"/>
      <c r="K1302"/>
      <c r="L1302"/>
      <c r="M1302"/>
      <c r="N1302"/>
      <c r="O1302"/>
      <c r="P1302"/>
    </row>
    <row r="1303" spans="1:16" ht="12" customHeight="1" x14ac:dyDescent="0.2">
      <c r="A1303"/>
      <c r="B1303"/>
      <c r="C1303"/>
      <c r="H1303"/>
      <c r="I1303"/>
      <c r="J1303"/>
      <c r="K1303"/>
      <c r="L1303"/>
      <c r="M1303"/>
      <c r="N1303"/>
      <c r="O1303"/>
      <c r="P1303"/>
    </row>
    <row r="1304" spans="1:16" ht="12" customHeight="1" x14ac:dyDescent="0.2">
      <c r="A1304"/>
      <c r="B1304"/>
      <c r="C1304"/>
      <c r="H1304"/>
      <c r="I1304"/>
      <c r="J1304"/>
      <c r="K1304"/>
      <c r="L1304"/>
      <c r="M1304"/>
      <c r="N1304"/>
      <c r="O1304"/>
      <c r="P1304"/>
    </row>
    <row r="1305" spans="1:16" ht="12" customHeight="1" x14ac:dyDescent="0.2">
      <c r="A1305"/>
      <c r="B1305"/>
      <c r="C1305"/>
      <c r="H1305"/>
      <c r="I1305"/>
      <c r="J1305"/>
      <c r="K1305"/>
      <c r="L1305"/>
      <c r="M1305"/>
      <c r="N1305"/>
      <c r="O1305"/>
      <c r="P1305"/>
    </row>
    <row r="1306" spans="1:16" ht="12" customHeight="1" x14ac:dyDescent="0.2">
      <c r="A1306"/>
      <c r="B1306"/>
      <c r="C1306"/>
      <c r="H1306"/>
      <c r="I1306"/>
      <c r="J1306"/>
      <c r="K1306"/>
      <c r="L1306"/>
      <c r="M1306"/>
      <c r="N1306"/>
      <c r="O1306"/>
      <c r="P1306"/>
    </row>
    <row r="1307" spans="1:16" x14ac:dyDescent="0.2">
      <c r="A1307"/>
      <c r="B1307"/>
      <c r="C1307"/>
      <c r="H1307"/>
      <c r="I1307"/>
      <c r="J1307"/>
      <c r="K1307"/>
      <c r="L1307"/>
      <c r="M1307"/>
      <c r="N1307"/>
      <c r="O1307"/>
      <c r="P1307"/>
    </row>
    <row r="1308" spans="1:16" x14ac:dyDescent="0.2">
      <c r="A1308"/>
      <c r="B1308"/>
      <c r="C1308"/>
      <c r="H1308"/>
      <c r="I1308"/>
      <c r="J1308"/>
      <c r="K1308"/>
      <c r="L1308"/>
      <c r="M1308"/>
      <c r="N1308"/>
      <c r="O1308"/>
      <c r="P1308"/>
    </row>
    <row r="1309" spans="1:16" x14ac:dyDescent="0.2">
      <c r="A1309"/>
      <c r="B1309"/>
      <c r="C1309"/>
      <c r="H1309"/>
      <c r="I1309"/>
      <c r="J1309"/>
      <c r="K1309"/>
      <c r="L1309"/>
      <c r="M1309"/>
      <c r="N1309"/>
      <c r="O1309"/>
      <c r="P1309"/>
    </row>
    <row r="1310" spans="1:16" x14ac:dyDescent="0.2">
      <c r="A1310"/>
      <c r="B1310"/>
      <c r="C1310"/>
      <c r="H1310"/>
      <c r="I1310"/>
      <c r="J1310"/>
      <c r="K1310"/>
      <c r="L1310"/>
      <c r="M1310"/>
      <c r="N1310"/>
      <c r="O1310"/>
      <c r="P1310"/>
    </row>
    <row r="1311" spans="1:16" x14ac:dyDescent="0.2">
      <c r="A1311"/>
      <c r="B1311"/>
      <c r="C1311"/>
      <c r="H1311"/>
      <c r="I1311"/>
      <c r="J1311"/>
      <c r="K1311"/>
      <c r="L1311"/>
      <c r="M1311"/>
      <c r="N1311"/>
      <c r="O1311"/>
      <c r="P1311"/>
    </row>
    <row r="1312" spans="1:16" ht="12" customHeight="1" x14ac:dyDescent="0.2">
      <c r="A1312"/>
      <c r="B1312"/>
      <c r="C1312"/>
      <c r="H1312"/>
      <c r="I1312"/>
      <c r="J1312"/>
      <c r="K1312"/>
      <c r="L1312"/>
      <c r="M1312"/>
      <c r="N1312"/>
      <c r="O1312"/>
      <c r="P1312"/>
    </row>
    <row r="1313" spans="1:16" ht="12" customHeight="1" x14ac:dyDescent="0.2">
      <c r="A1313"/>
      <c r="B1313"/>
      <c r="C1313"/>
      <c r="H1313"/>
      <c r="I1313"/>
      <c r="J1313"/>
      <c r="K1313"/>
      <c r="L1313"/>
      <c r="M1313"/>
      <c r="N1313"/>
      <c r="O1313"/>
      <c r="P1313"/>
    </row>
    <row r="1314" spans="1:16" ht="12" customHeight="1" x14ac:dyDescent="0.2">
      <c r="A1314"/>
      <c r="B1314"/>
      <c r="C1314"/>
      <c r="H1314"/>
      <c r="I1314"/>
      <c r="J1314"/>
      <c r="K1314"/>
      <c r="L1314"/>
      <c r="M1314"/>
      <c r="N1314"/>
      <c r="O1314"/>
      <c r="P1314"/>
    </row>
    <row r="1315" spans="1:16" ht="12" customHeight="1" x14ac:dyDescent="0.2">
      <c r="A1315"/>
      <c r="B1315"/>
      <c r="C1315"/>
      <c r="H1315"/>
      <c r="I1315"/>
      <c r="J1315"/>
      <c r="K1315"/>
      <c r="L1315"/>
      <c r="M1315"/>
      <c r="N1315"/>
      <c r="O1315"/>
      <c r="P1315"/>
    </row>
    <row r="1316" spans="1:16" x14ac:dyDescent="0.2">
      <c r="A1316"/>
      <c r="B1316"/>
      <c r="C1316"/>
      <c r="H1316"/>
      <c r="I1316"/>
      <c r="J1316"/>
      <c r="K1316"/>
      <c r="L1316"/>
      <c r="M1316"/>
      <c r="N1316"/>
      <c r="O1316"/>
      <c r="P1316"/>
    </row>
    <row r="1317" spans="1:16" ht="12" customHeight="1" x14ac:dyDescent="0.2">
      <c r="A1317"/>
      <c r="B1317"/>
      <c r="C1317"/>
      <c r="H1317"/>
      <c r="I1317"/>
      <c r="J1317"/>
      <c r="K1317"/>
      <c r="L1317"/>
      <c r="M1317"/>
      <c r="N1317"/>
      <c r="O1317"/>
      <c r="P1317"/>
    </row>
    <row r="1318" spans="1:16" ht="12" customHeight="1" x14ac:dyDescent="0.2">
      <c r="A1318"/>
      <c r="B1318"/>
      <c r="C1318"/>
      <c r="H1318"/>
      <c r="I1318"/>
      <c r="J1318"/>
      <c r="K1318"/>
      <c r="L1318"/>
      <c r="M1318"/>
      <c r="N1318"/>
      <c r="O1318"/>
      <c r="P1318"/>
    </row>
    <row r="1319" spans="1:16" ht="12" customHeight="1" x14ac:dyDescent="0.2">
      <c r="A1319"/>
      <c r="B1319"/>
      <c r="C1319"/>
      <c r="H1319"/>
      <c r="I1319"/>
      <c r="J1319"/>
      <c r="K1319"/>
      <c r="L1319"/>
      <c r="M1319"/>
      <c r="N1319"/>
      <c r="O1319"/>
      <c r="P1319"/>
    </row>
    <row r="1320" spans="1:16" ht="12" customHeight="1" x14ac:dyDescent="0.2">
      <c r="A1320"/>
      <c r="B1320"/>
      <c r="C1320"/>
      <c r="H1320"/>
      <c r="I1320"/>
      <c r="J1320"/>
      <c r="K1320"/>
      <c r="L1320"/>
      <c r="M1320"/>
      <c r="N1320"/>
      <c r="O1320"/>
      <c r="P1320"/>
    </row>
    <row r="1321" spans="1:16" ht="12" customHeight="1" x14ac:dyDescent="0.2">
      <c r="A1321"/>
      <c r="B1321"/>
      <c r="C1321"/>
      <c r="H1321"/>
      <c r="I1321"/>
      <c r="J1321"/>
      <c r="K1321"/>
      <c r="L1321"/>
      <c r="M1321"/>
      <c r="N1321"/>
      <c r="O1321"/>
      <c r="P1321"/>
    </row>
    <row r="1322" spans="1:16" ht="12" customHeight="1" x14ac:dyDescent="0.2">
      <c r="A1322"/>
      <c r="B1322"/>
      <c r="C1322"/>
      <c r="H1322"/>
      <c r="I1322"/>
      <c r="J1322"/>
      <c r="K1322"/>
      <c r="L1322"/>
      <c r="M1322"/>
      <c r="N1322"/>
      <c r="O1322"/>
      <c r="P1322"/>
    </row>
    <row r="1323" spans="1:16" ht="12" customHeight="1" x14ac:dyDescent="0.2">
      <c r="A1323"/>
      <c r="B1323"/>
      <c r="C1323"/>
      <c r="H1323"/>
      <c r="I1323"/>
      <c r="J1323"/>
      <c r="K1323"/>
      <c r="L1323"/>
      <c r="M1323"/>
      <c r="N1323"/>
      <c r="O1323"/>
      <c r="P1323"/>
    </row>
    <row r="1324" spans="1:16" x14ac:dyDescent="0.2">
      <c r="A1324"/>
      <c r="B1324"/>
      <c r="C1324"/>
      <c r="H1324"/>
      <c r="I1324"/>
      <c r="J1324"/>
      <c r="K1324"/>
      <c r="L1324"/>
      <c r="M1324"/>
      <c r="N1324"/>
      <c r="O1324"/>
      <c r="P1324"/>
    </row>
    <row r="1325" spans="1:16" x14ac:dyDescent="0.2">
      <c r="A1325"/>
      <c r="B1325"/>
      <c r="C1325"/>
      <c r="H1325"/>
      <c r="I1325"/>
      <c r="J1325"/>
      <c r="K1325"/>
      <c r="L1325"/>
      <c r="M1325"/>
      <c r="N1325"/>
      <c r="O1325"/>
      <c r="P1325"/>
    </row>
    <row r="1326" spans="1:16" ht="12" customHeight="1" x14ac:dyDescent="0.2">
      <c r="A1326"/>
      <c r="B1326"/>
      <c r="C1326"/>
      <c r="H1326"/>
      <c r="I1326"/>
      <c r="J1326"/>
      <c r="K1326"/>
      <c r="L1326"/>
      <c r="M1326"/>
      <c r="N1326"/>
      <c r="O1326"/>
      <c r="P1326"/>
    </row>
    <row r="1327" spans="1:16" ht="12" customHeight="1" x14ac:dyDescent="0.2">
      <c r="A1327"/>
      <c r="B1327"/>
      <c r="C1327"/>
      <c r="H1327"/>
      <c r="I1327"/>
      <c r="J1327"/>
      <c r="K1327"/>
      <c r="L1327"/>
      <c r="M1327"/>
      <c r="N1327"/>
      <c r="O1327"/>
      <c r="P1327"/>
    </row>
    <row r="1328" spans="1:16" ht="12" customHeight="1" x14ac:dyDescent="0.2">
      <c r="A1328"/>
      <c r="B1328"/>
      <c r="C1328"/>
      <c r="H1328"/>
      <c r="I1328"/>
      <c r="J1328"/>
      <c r="K1328"/>
      <c r="L1328"/>
      <c r="M1328"/>
      <c r="N1328"/>
      <c r="O1328"/>
      <c r="P1328"/>
    </row>
    <row r="1329" spans="1:16" ht="12" customHeight="1" x14ac:dyDescent="0.2">
      <c r="A1329"/>
      <c r="B1329"/>
      <c r="C1329"/>
      <c r="H1329"/>
      <c r="I1329"/>
      <c r="J1329"/>
      <c r="K1329"/>
      <c r="L1329"/>
      <c r="M1329"/>
      <c r="N1329"/>
      <c r="O1329"/>
      <c r="P1329"/>
    </row>
    <row r="1330" spans="1:16" ht="12" customHeight="1" x14ac:dyDescent="0.2">
      <c r="A1330"/>
      <c r="B1330"/>
      <c r="C1330"/>
      <c r="H1330"/>
      <c r="I1330"/>
      <c r="J1330"/>
      <c r="K1330"/>
      <c r="L1330"/>
      <c r="M1330"/>
      <c r="N1330"/>
      <c r="O1330"/>
      <c r="P1330"/>
    </row>
    <row r="1331" spans="1:16" ht="12" customHeight="1" x14ac:dyDescent="0.2">
      <c r="A1331"/>
      <c r="B1331"/>
      <c r="C1331"/>
      <c r="H1331"/>
      <c r="I1331"/>
      <c r="J1331"/>
      <c r="K1331"/>
      <c r="L1331"/>
      <c r="M1331"/>
      <c r="N1331"/>
      <c r="O1331"/>
      <c r="P1331"/>
    </row>
    <row r="1332" spans="1:16" ht="12" customHeight="1" x14ac:dyDescent="0.2">
      <c r="A1332"/>
      <c r="B1332"/>
      <c r="C1332"/>
      <c r="H1332"/>
      <c r="I1332"/>
      <c r="J1332"/>
      <c r="K1332"/>
      <c r="L1332"/>
      <c r="M1332"/>
      <c r="N1332"/>
      <c r="O1332"/>
      <c r="P1332"/>
    </row>
    <row r="1333" spans="1:16" ht="12" customHeight="1" x14ac:dyDescent="0.2">
      <c r="A1333"/>
      <c r="B1333"/>
      <c r="C1333"/>
      <c r="H1333"/>
      <c r="I1333"/>
      <c r="J1333"/>
      <c r="K1333"/>
      <c r="L1333"/>
      <c r="M1333"/>
      <c r="N1333"/>
      <c r="O1333"/>
      <c r="P1333"/>
    </row>
    <row r="1334" spans="1:16" ht="12" customHeight="1" x14ac:dyDescent="0.2">
      <c r="A1334"/>
      <c r="B1334"/>
      <c r="C1334"/>
      <c r="H1334"/>
      <c r="I1334"/>
      <c r="J1334"/>
      <c r="K1334"/>
      <c r="L1334"/>
      <c r="M1334"/>
      <c r="N1334"/>
      <c r="O1334"/>
      <c r="P1334"/>
    </row>
    <row r="1335" spans="1:16" ht="12" customHeight="1" x14ac:dyDescent="0.2">
      <c r="A1335"/>
      <c r="B1335"/>
      <c r="C1335"/>
      <c r="H1335"/>
      <c r="I1335"/>
      <c r="J1335"/>
      <c r="K1335"/>
      <c r="L1335"/>
      <c r="M1335"/>
      <c r="N1335"/>
      <c r="O1335"/>
      <c r="P1335"/>
    </row>
    <row r="1336" spans="1:16" ht="15" customHeight="1" x14ac:dyDescent="0.2">
      <c r="A1336"/>
      <c r="B1336"/>
      <c r="C1336"/>
      <c r="H1336"/>
      <c r="I1336"/>
      <c r="J1336"/>
      <c r="K1336"/>
      <c r="L1336"/>
      <c r="M1336"/>
      <c r="N1336"/>
      <c r="O1336"/>
      <c r="P1336"/>
    </row>
    <row r="1337" spans="1:16" ht="15" customHeight="1" x14ac:dyDescent="0.2">
      <c r="A1337"/>
      <c r="B1337"/>
      <c r="C1337"/>
      <c r="H1337"/>
      <c r="I1337"/>
      <c r="J1337"/>
      <c r="K1337"/>
      <c r="L1337"/>
      <c r="M1337"/>
      <c r="N1337"/>
      <c r="O1337"/>
      <c r="P1337"/>
    </row>
    <row r="1338" spans="1:16" ht="15" customHeight="1" x14ac:dyDescent="0.2">
      <c r="A1338"/>
      <c r="B1338"/>
      <c r="C1338"/>
      <c r="H1338"/>
      <c r="I1338"/>
      <c r="J1338"/>
      <c r="K1338"/>
      <c r="L1338"/>
      <c r="M1338"/>
      <c r="N1338"/>
      <c r="O1338"/>
      <c r="P1338"/>
    </row>
    <row r="1339" spans="1:16" ht="15" customHeight="1" x14ac:dyDescent="0.2">
      <c r="A1339"/>
      <c r="B1339"/>
      <c r="C1339"/>
      <c r="H1339"/>
      <c r="I1339"/>
      <c r="J1339"/>
      <c r="K1339"/>
      <c r="L1339"/>
      <c r="M1339"/>
      <c r="N1339"/>
      <c r="O1339"/>
      <c r="P1339"/>
    </row>
    <row r="1340" spans="1:16" ht="15" customHeight="1" x14ac:dyDescent="0.2">
      <c r="A1340"/>
      <c r="B1340"/>
      <c r="C1340"/>
      <c r="H1340"/>
      <c r="I1340"/>
      <c r="J1340"/>
      <c r="K1340"/>
      <c r="L1340"/>
      <c r="M1340"/>
      <c r="N1340"/>
      <c r="O1340"/>
      <c r="P1340"/>
    </row>
    <row r="1341" spans="1:16" ht="15" customHeight="1" x14ac:dyDescent="0.2">
      <c r="A1341"/>
      <c r="B1341"/>
      <c r="C1341"/>
      <c r="H1341"/>
      <c r="I1341"/>
      <c r="J1341"/>
      <c r="K1341"/>
      <c r="L1341"/>
      <c r="M1341"/>
      <c r="N1341"/>
      <c r="O1341"/>
      <c r="P1341"/>
    </row>
    <row r="1342" spans="1:16" ht="15" customHeight="1" x14ac:dyDescent="0.2">
      <c r="A1342"/>
      <c r="B1342"/>
      <c r="C1342"/>
      <c r="H1342"/>
      <c r="I1342"/>
      <c r="J1342"/>
      <c r="K1342"/>
      <c r="L1342"/>
      <c r="M1342"/>
      <c r="N1342"/>
      <c r="O1342"/>
      <c r="P1342"/>
    </row>
    <row r="1343" spans="1:16" ht="15" customHeight="1" x14ac:dyDescent="0.2">
      <c r="A1343"/>
      <c r="B1343"/>
      <c r="C1343"/>
      <c r="H1343"/>
      <c r="I1343"/>
      <c r="J1343"/>
      <c r="K1343"/>
      <c r="L1343"/>
      <c r="M1343"/>
      <c r="N1343"/>
      <c r="O1343"/>
      <c r="P1343"/>
    </row>
    <row r="1344" spans="1:16" ht="15" customHeight="1" x14ac:dyDescent="0.2">
      <c r="A1344"/>
      <c r="B1344"/>
      <c r="C1344"/>
      <c r="H1344"/>
      <c r="I1344"/>
      <c r="J1344"/>
      <c r="K1344"/>
      <c r="L1344"/>
      <c r="M1344"/>
      <c r="N1344"/>
      <c r="O1344"/>
      <c r="P1344"/>
    </row>
    <row r="1345" spans="1:16" ht="15" customHeight="1" x14ac:dyDescent="0.2">
      <c r="A1345"/>
      <c r="B1345"/>
      <c r="C1345"/>
      <c r="H1345"/>
      <c r="I1345"/>
      <c r="J1345"/>
      <c r="K1345"/>
      <c r="L1345"/>
      <c r="M1345"/>
      <c r="N1345"/>
      <c r="O1345"/>
      <c r="P1345"/>
    </row>
    <row r="1346" spans="1:16" ht="15" customHeight="1" x14ac:dyDescent="0.2">
      <c r="A1346"/>
      <c r="B1346"/>
      <c r="C1346"/>
      <c r="H1346"/>
      <c r="I1346"/>
      <c r="J1346"/>
      <c r="K1346"/>
      <c r="L1346"/>
      <c r="M1346"/>
      <c r="N1346"/>
      <c r="O1346"/>
      <c r="P1346"/>
    </row>
    <row r="1347" spans="1:16" ht="17.25" customHeight="1" x14ac:dyDescent="0.2">
      <c r="A1347"/>
      <c r="B1347"/>
      <c r="C1347"/>
      <c r="H1347"/>
      <c r="I1347"/>
      <c r="J1347"/>
      <c r="K1347"/>
      <c r="L1347"/>
      <c r="M1347"/>
      <c r="N1347"/>
      <c r="O1347"/>
      <c r="P1347"/>
    </row>
    <row r="1348" spans="1:16" x14ac:dyDescent="0.2">
      <c r="A1348"/>
      <c r="B1348"/>
      <c r="C1348"/>
      <c r="H1348"/>
      <c r="I1348"/>
      <c r="J1348"/>
      <c r="K1348"/>
      <c r="L1348"/>
      <c r="M1348"/>
      <c r="N1348"/>
      <c r="O1348"/>
      <c r="P1348"/>
    </row>
    <row r="1349" spans="1:16" ht="13.5" customHeight="1" x14ac:dyDescent="0.2">
      <c r="A1349"/>
      <c r="B1349"/>
      <c r="C1349"/>
      <c r="H1349"/>
      <c r="I1349"/>
      <c r="J1349"/>
      <c r="K1349"/>
      <c r="L1349"/>
      <c r="M1349"/>
      <c r="N1349"/>
      <c r="O1349"/>
      <c r="P1349"/>
    </row>
    <row r="1350" spans="1:16" ht="35.25" customHeight="1" x14ac:dyDescent="0.2">
      <c r="A1350"/>
      <c r="B1350"/>
      <c r="C1350"/>
      <c r="H1350"/>
      <c r="I1350"/>
      <c r="J1350"/>
      <c r="K1350"/>
      <c r="L1350"/>
      <c r="M1350"/>
      <c r="N1350"/>
      <c r="O1350"/>
      <c r="P1350"/>
    </row>
    <row r="1351" spans="1:16" ht="40.5" customHeight="1" x14ac:dyDescent="0.2">
      <c r="A1351"/>
      <c r="B1351"/>
      <c r="C1351"/>
      <c r="H1351"/>
      <c r="I1351"/>
      <c r="J1351"/>
      <c r="K1351"/>
      <c r="L1351"/>
      <c r="M1351"/>
      <c r="N1351"/>
      <c r="O1351"/>
      <c r="P1351"/>
    </row>
    <row r="1352" spans="1:16" x14ac:dyDescent="0.2">
      <c r="A1352"/>
      <c r="B1352"/>
      <c r="C1352"/>
      <c r="H1352"/>
      <c r="I1352"/>
      <c r="J1352"/>
      <c r="K1352"/>
      <c r="L1352"/>
      <c r="M1352"/>
      <c r="N1352"/>
      <c r="O1352"/>
      <c r="P1352"/>
    </row>
    <row r="1353" spans="1:16" x14ac:dyDescent="0.2">
      <c r="A1353"/>
      <c r="B1353"/>
      <c r="C1353"/>
      <c r="H1353"/>
      <c r="I1353"/>
      <c r="J1353"/>
      <c r="K1353"/>
      <c r="L1353"/>
      <c r="M1353"/>
      <c r="N1353"/>
      <c r="O1353"/>
      <c r="P1353"/>
    </row>
    <row r="1354" spans="1:16" x14ac:dyDescent="0.2">
      <c r="A1354"/>
      <c r="B1354"/>
      <c r="C1354"/>
      <c r="H1354"/>
      <c r="I1354"/>
      <c r="J1354"/>
      <c r="K1354"/>
      <c r="L1354"/>
      <c r="M1354"/>
      <c r="N1354"/>
      <c r="O1354"/>
      <c r="P1354"/>
    </row>
    <row r="1355" spans="1:16" x14ac:dyDescent="0.2">
      <c r="A1355"/>
      <c r="B1355"/>
      <c r="C1355"/>
      <c r="H1355"/>
      <c r="I1355"/>
      <c r="J1355"/>
      <c r="K1355"/>
      <c r="L1355"/>
      <c r="M1355"/>
      <c r="N1355"/>
      <c r="O1355"/>
      <c r="P1355"/>
    </row>
    <row r="1356" spans="1:16" ht="12" customHeight="1" x14ac:dyDescent="0.2">
      <c r="A1356"/>
      <c r="B1356"/>
      <c r="C1356"/>
      <c r="H1356"/>
      <c r="I1356"/>
      <c r="J1356"/>
      <c r="K1356"/>
      <c r="L1356"/>
      <c r="M1356"/>
      <c r="N1356"/>
      <c r="O1356"/>
      <c r="P1356"/>
    </row>
    <row r="1357" spans="1:16" ht="12" customHeight="1" x14ac:dyDescent="0.2">
      <c r="A1357"/>
      <c r="B1357"/>
      <c r="C1357"/>
      <c r="H1357"/>
      <c r="I1357"/>
      <c r="J1357"/>
      <c r="K1357"/>
      <c r="L1357"/>
      <c r="M1357"/>
      <c r="N1357"/>
      <c r="O1357"/>
      <c r="P1357"/>
    </row>
    <row r="1358" spans="1:16" ht="12" customHeight="1" x14ac:dyDescent="0.2">
      <c r="A1358"/>
      <c r="B1358"/>
      <c r="C1358"/>
      <c r="H1358"/>
      <c r="I1358"/>
      <c r="J1358"/>
      <c r="K1358"/>
      <c r="L1358"/>
      <c r="M1358"/>
      <c r="N1358"/>
      <c r="O1358"/>
      <c r="P1358"/>
    </row>
    <row r="1359" spans="1:16" ht="12" customHeight="1" x14ac:dyDescent="0.2">
      <c r="A1359"/>
      <c r="B1359"/>
      <c r="C1359"/>
      <c r="H1359"/>
      <c r="I1359"/>
      <c r="J1359"/>
      <c r="K1359"/>
      <c r="L1359"/>
      <c r="M1359"/>
      <c r="N1359"/>
      <c r="O1359"/>
      <c r="P1359"/>
    </row>
    <row r="1360" spans="1:16" ht="12" customHeight="1" x14ac:dyDescent="0.2">
      <c r="A1360"/>
      <c r="B1360"/>
      <c r="C1360"/>
      <c r="H1360"/>
      <c r="I1360"/>
      <c r="J1360"/>
      <c r="K1360"/>
      <c r="L1360"/>
      <c r="M1360"/>
      <c r="N1360"/>
      <c r="O1360"/>
      <c r="P1360"/>
    </row>
    <row r="1361" spans="1:16" ht="12" customHeight="1" x14ac:dyDescent="0.2">
      <c r="A1361"/>
      <c r="B1361"/>
      <c r="C1361"/>
      <c r="H1361"/>
      <c r="I1361"/>
      <c r="J1361"/>
      <c r="K1361"/>
      <c r="L1361"/>
      <c r="M1361"/>
      <c r="N1361"/>
      <c r="O1361"/>
      <c r="P1361"/>
    </row>
    <row r="1362" spans="1:16" ht="12" customHeight="1" x14ac:dyDescent="0.2">
      <c r="A1362"/>
      <c r="B1362"/>
      <c r="C1362"/>
      <c r="H1362"/>
      <c r="I1362"/>
      <c r="J1362"/>
      <c r="K1362"/>
      <c r="L1362"/>
      <c r="M1362"/>
      <c r="N1362"/>
      <c r="O1362"/>
      <c r="P1362"/>
    </row>
    <row r="1363" spans="1:16" ht="12" customHeight="1" x14ac:dyDescent="0.2">
      <c r="A1363"/>
      <c r="B1363"/>
      <c r="C1363"/>
      <c r="H1363"/>
      <c r="I1363"/>
      <c r="J1363"/>
      <c r="K1363"/>
      <c r="L1363"/>
      <c r="M1363"/>
      <c r="N1363"/>
      <c r="O1363"/>
      <c r="P1363"/>
    </row>
    <row r="1364" spans="1:16" ht="12" customHeight="1" x14ac:dyDescent="0.2">
      <c r="A1364"/>
      <c r="B1364"/>
      <c r="C1364"/>
      <c r="H1364"/>
      <c r="I1364"/>
      <c r="J1364"/>
      <c r="K1364"/>
      <c r="L1364"/>
      <c r="M1364"/>
      <c r="N1364"/>
      <c r="O1364"/>
      <c r="P1364"/>
    </row>
    <row r="1365" spans="1:16" ht="12" customHeight="1" x14ac:dyDescent="0.2">
      <c r="A1365"/>
      <c r="B1365"/>
      <c r="C1365"/>
      <c r="H1365"/>
      <c r="I1365"/>
      <c r="J1365"/>
      <c r="K1365"/>
      <c r="L1365"/>
      <c r="M1365"/>
      <c r="N1365"/>
      <c r="O1365"/>
      <c r="P1365"/>
    </row>
    <row r="1366" spans="1:16" x14ac:dyDescent="0.2">
      <c r="A1366"/>
      <c r="B1366"/>
      <c r="C1366"/>
      <c r="H1366"/>
      <c r="I1366"/>
      <c r="J1366"/>
      <c r="K1366"/>
      <c r="L1366"/>
      <c r="M1366"/>
      <c r="N1366"/>
      <c r="O1366"/>
      <c r="P1366"/>
    </row>
    <row r="1367" spans="1:16" ht="15" customHeight="1" x14ac:dyDescent="0.2">
      <c r="A1367"/>
      <c r="B1367"/>
      <c r="C1367"/>
      <c r="H1367"/>
      <c r="I1367"/>
      <c r="J1367"/>
      <c r="K1367"/>
      <c r="L1367"/>
      <c r="M1367"/>
      <c r="N1367"/>
      <c r="O1367"/>
      <c r="P1367"/>
    </row>
    <row r="1368" spans="1:16" ht="15" customHeight="1" x14ac:dyDescent="0.2">
      <c r="A1368"/>
      <c r="B1368"/>
      <c r="C1368"/>
      <c r="H1368"/>
      <c r="I1368"/>
      <c r="J1368"/>
      <c r="K1368"/>
      <c r="L1368"/>
      <c r="M1368"/>
      <c r="N1368"/>
      <c r="O1368"/>
      <c r="P1368"/>
    </row>
    <row r="1369" spans="1:16" ht="15" customHeight="1" x14ac:dyDescent="0.2">
      <c r="A1369"/>
      <c r="B1369"/>
      <c r="C1369"/>
      <c r="H1369"/>
      <c r="I1369"/>
      <c r="J1369"/>
      <c r="K1369"/>
      <c r="L1369"/>
      <c r="M1369"/>
      <c r="N1369"/>
      <c r="O1369"/>
      <c r="P1369"/>
    </row>
    <row r="1370" spans="1:16" x14ac:dyDescent="0.2">
      <c r="A1370"/>
      <c r="B1370"/>
      <c r="C1370"/>
      <c r="H1370"/>
      <c r="I1370"/>
      <c r="J1370"/>
      <c r="K1370"/>
      <c r="L1370"/>
      <c r="M1370"/>
      <c r="N1370"/>
      <c r="O1370"/>
      <c r="P1370"/>
    </row>
    <row r="1371" spans="1:16" x14ac:dyDescent="0.2">
      <c r="A1371"/>
      <c r="B1371"/>
      <c r="C1371"/>
      <c r="H1371"/>
      <c r="I1371"/>
      <c r="J1371"/>
      <c r="K1371"/>
      <c r="L1371"/>
      <c r="M1371"/>
      <c r="N1371"/>
      <c r="O1371"/>
      <c r="P1371"/>
    </row>
    <row r="1372" spans="1:16" x14ac:dyDescent="0.2">
      <c r="A1372"/>
      <c r="B1372"/>
      <c r="C1372"/>
      <c r="H1372"/>
      <c r="I1372"/>
      <c r="J1372"/>
      <c r="K1372"/>
      <c r="L1372"/>
      <c r="M1372"/>
      <c r="N1372"/>
      <c r="O1372"/>
      <c r="P1372"/>
    </row>
    <row r="1373" spans="1:16" x14ac:dyDescent="0.2">
      <c r="A1373"/>
      <c r="B1373"/>
      <c r="C1373"/>
      <c r="H1373"/>
      <c r="I1373"/>
      <c r="J1373"/>
      <c r="K1373"/>
      <c r="L1373"/>
      <c r="M1373"/>
      <c r="N1373"/>
      <c r="O1373"/>
      <c r="P1373"/>
    </row>
    <row r="1374" spans="1:16" x14ac:dyDescent="0.2">
      <c r="A1374"/>
      <c r="B1374"/>
      <c r="C1374"/>
      <c r="H1374"/>
      <c r="I1374"/>
      <c r="J1374"/>
      <c r="K1374"/>
      <c r="L1374"/>
      <c r="M1374"/>
      <c r="N1374"/>
      <c r="O1374"/>
      <c r="P1374"/>
    </row>
    <row r="1375" spans="1:16" x14ac:dyDescent="0.2">
      <c r="A1375"/>
      <c r="B1375"/>
      <c r="C1375"/>
      <c r="H1375"/>
      <c r="I1375"/>
      <c r="J1375"/>
      <c r="K1375"/>
      <c r="L1375"/>
      <c r="M1375"/>
      <c r="N1375"/>
      <c r="O1375"/>
      <c r="P1375"/>
    </row>
    <row r="1376" spans="1:16" x14ac:dyDescent="0.2">
      <c r="A1376"/>
      <c r="B1376"/>
      <c r="C1376"/>
      <c r="H1376"/>
      <c r="I1376"/>
      <c r="J1376"/>
      <c r="K1376"/>
      <c r="L1376"/>
      <c r="M1376"/>
      <c r="N1376"/>
      <c r="O1376"/>
      <c r="P1376"/>
    </row>
    <row r="1377" spans="1:16" x14ac:dyDescent="0.2">
      <c r="A1377"/>
      <c r="B1377"/>
      <c r="C1377"/>
      <c r="H1377"/>
      <c r="I1377"/>
      <c r="J1377"/>
      <c r="K1377"/>
      <c r="L1377"/>
      <c r="M1377"/>
      <c r="N1377"/>
      <c r="O1377"/>
      <c r="P1377"/>
    </row>
    <row r="1378" spans="1:16" x14ac:dyDescent="0.2">
      <c r="A1378"/>
      <c r="B1378"/>
      <c r="C1378"/>
      <c r="H1378"/>
      <c r="I1378"/>
      <c r="J1378"/>
      <c r="K1378"/>
      <c r="L1378"/>
      <c r="M1378"/>
      <c r="N1378"/>
      <c r="O1378"/>
      <c r="P1378"/>
    </row>
    <row r="1379" spans="1:16" x14ac:dyDescent="0.2">
      <c r="A1379"/>
      <c r="B1379"/>
      <c r="C1379"/>
      <c r="H1379"/>
      <c r="I1379"/>
      <c r="J1379"/>
      <c r="K1379"/>
      <c r="L1379"/>
      <c r="M1379"/>
      <c r="N1379"/>
      <c r="O1379"/>
      <c r="P1379"/>
    </row>
    <row r="1380" spans="1:16" x14ac:dyDescent="0.2">
      <c r="A1380"/>
      <c r="B1380"/>
      <c r="C1380"/>
      <c r="H1380"/>
      <c r="I1380"/>
      <c r="J1380"/>
      <c r="K1380"/>
      <c r="L1380"/>
      <c r="M1380"/>
      <c r="N1380"/>
      <c r="O1380"/>
      <c r="P1380"/>
    </row>
    <row r="1381" spans="1:16" x14ac:dyDescent="0.2">
      <c r="A1381"/>
      <c r="B1381"/>
      <c r="C1381"/>
      <c r="H1381"/>
      <c r="I1381"/>
      <c r="J1381"/>
      <c r="K1381"/>
      <c r="L1381"/>
      <c r="M1381"/>
      <c r="N1381"/>
      <c r="O1381"/>
      <c r="P1381"/>
    </row>
    <row r="1382" spans="1:16" x14ac:dyDescent="0.2">
      <c r="A1382"/>
      <c r="B1382"/>
      <c r="C1382"/>
      <c r="H1382"/>
      <c r="I1382"/>
      <c r="J1382"/>
      <c r="K1382"/>
      <c r="L1382"/>
      <c r="M1382"/>
      <c r="N1382"/>
      <c r="O1382"/>
      <c r="P1382"/>
    </row>
    <row r="1383" spans="1:16" x14ac:dyDescent="0.2">
      <c r="A1383"/>
      <c r="B1383"/>
      <c r="C1383"/>
      <c r="H1383"/>
      <c r="I1383"/>
      <c r="J1383"/>
      <c r="K1383"/>
      <c r="L1383"/>
      <c r="M1383"/>
      <c r="N1383"/>
      <c r="O1383"/>
      <c r="P1383"/>
    </row>
    <row r="1384" spans="1:16" x14ac:dyDescent="0.2">
      <c r="A1384"/>
      <c r="B1384"/>
      <c r="C1384"/>
      <c r="H1384"/>
      <c r="I1384"/>
      <c r="J1384"/>
      <c r="K1384"/>
      <c r="L1384"/>
      <c r="M1384"/>
      <c r="N1384"/>
      <c r="O1384"/>
      <c r="P1384"/>
    </row>
    <row r="1385" spans="1:16" x14ac:dyDescent="0.2">
      <c r="A1385"/>
      <c r="B1385"/>
      <c r="C1385"/>
      <c r="H1385"/>
      <c r="I1385"/>
      <c r="J1385"/>
      <c r="K1385"/>
      <c r="L1385"/>
      <c r="M1385"/>
      <c r="N1385"/>
      <c r="O1385"/>
      <c r="P1385"/>
    </row>
    <row r="1386" spans="1:16" x14ac:dyDescent="0.2">
      <c r="A1386"/>
      <c r="B1386"/>
      <c r="C1386"/>
      <c r="H1386"/>
      <c r="I1386"/>
      <c r="J1386"/>
      <c r="K1386"/>
      <c r="L1386"/>
      <c r="M1386"/>
      <c r="N1386"/>
      <c r="O1386"/>
      <c r="P1386"/>
    </row>
    <row r="1387" spans="1:16" x14ac:dyDescent="0.2">
      <c r="A1387"/>
      <c r="B1387"/>
      <c r="C1387"/>
      <c r="H1387"/>
      <c r="I1387"/>
      <c r="J1387"/>
      <c r="K1387"/>
      <c r="L1387"/>
      <c r="M1387"/>
      <c r="N1387"/>
      <c r="O1387"/>
      <c r="P1387"/>
    </row>
    <row r="1388" spans="1:16" x14ac:dyDescent="0.2">
      <c r="A1388"/>
      <c r="B1388"/>
      <c r="C1388"/>
      <c r="H1388"/>
      <c r="I1388"/>
      <c r="J1388"/>
      <c r="K1388"/>
      <c r="L1388"/>
      <c r="M1388"/>
      <c r="N1388"/>
      <c r="O1388"/>
      <c r="P1388"/>
    </row>
    <row r="1389" spans="1:16" x14ac:dyDescent="0.2">
      <c r="A1389"/>
      <c r="B1389"/>
      <c r="C1389"/>
      <c r="H1389"/>
      <c r="I1389"/>
      <c r="J1389"/>
      <c r="K1389"/>
      <c r="L1389"/>
      <c r="M1389"/>
      <c r="N1389"/>
      <c r="O1389"/>
      <c r="P1389"/>
    </row>
    <row r="1390" spans="1:16" x14ac:dyDescent="0.2">
      <c r="A1390"/>
      <c r="B1390"/>
      <c r="C1390"/>
      <c r="H1390"/>
      <c r="I1390"/>
      <c r="J1390"/>
      <c r="K1390"/>
      <c r="L1390"/>
      <c r="M1390"/>
      <c r="N1390"/>
      <c r="O1390"/>
      <c r="P1390"/>
    </row>
    <row r="1391" spans="1:16" x14ac:dyDescent="0.2">
      <c r="A1391"/>
      <c r="B1391"/>
      <c r="C1391"/>
      <c r="H1391"/>
      <c r="I1391"/>
      <c r="J1391"/>
      <c r="K1391"/>
      <c r="L1391"/>
      <c r="M1391"/>
      <c r="N1391"/>
      <c r="O1391"/>
      <c r="P1391"/>
    </row>
    <row r="1392" spans="1:16" x14ac:dyDescent="0.2">
      <c r="A1392"/>
      <c r="B1392"/>
      <c r="C1392"/>
      <c r="H1392"/>
      <c r="I1392"/>
      <c r="J1392"/>
      <c r="K1392"/>
      <c r="L1392"/>
      <c r="M1392"/>
      <c r="N1392"/>
      <c r="O1392"/>
      <c r="P1392"/>
    </row>
    <row r="1393" spans="1:16" x14ac:dyDescent="0.2">
      <c r="A1393"/>
      <c r="B1393"/>
      <c r="C1393"/>
      <c r="H1393"/>
      <c r="I1393"/>
      <c r="J1393"/>
      <c r="K1393"/>
      <c r="L1393"/>
      <c r="M1393"/>
      <c r="N1393"/>
      <c r="O1393"/>
      <c r="P1393"/>
    </row>
    <row r="1394" spans="1:16" x14ac:dyDescent="0.2">
      <c r="A1394"/>
      <c r="B1394"/>
      <c r="C1394"/>
      <c r="H1394"/>
      <c r="I1394"/>
      <c r="J1394"/>
      <c r="K1394"/>
      <c r="L1394"/>
      <c r="M1394"/>
      <c r="N1394"/>
      <c r="O1394"/>
      <c r="P1394"/>
    </row>
    <row r="1395" spans="1:16" x14ac:dyDescent="0.2">
      <c r="A1395"/>
      <c r="B1395"/>
      <c r="C1395"/>
      <c r="H1395"/>
      <c r="I1395"/>
      <c r="J1395"/>
      <c r="K1395"/>
      <c r="L1395"/>
      <c r="M1395"/>
      <c r="N1395"/>
      <c r="O1395"/>
      <c r="P1395"/>
    </row>
    <row r="1396" spans="1:16" x14ac:dyDescent="0.2">
      <c r="A1396"/>
      <c r="B1396"/>
      <c r="C1396"/>
      <c r="H1396"/>
      <c r="I1396"/>
      <c r="J1396"/>
      <c r="K1396"/>
      <c r="L1396"/>
      <c r="M1396"/>
      <c r="N1396"/>
      <c r="O1396"/>
      <c r="P1396"/>
    </row>
    <row r="1397" spans="1:16" x14ac:dyDescent="0.2">
      <c r="A1397"/>
      <c r="B1397"/>
      <c r="C1397"/>
      <c r="H1397"/>
      <c r="I1397"/>
      <c r="J1397"/>
      <c r="K1397"/>
      <c r="L1397"/>
      <c r="M1397"/>
      <c r="N1397"/>
      <c r="O1397"/>
      <c r="P1397"/>
    </row>
    <row r="1398" spans="1:16" x14ac:dyDescent="0.2">
      <c r="A1398"/>
      <c r="B1398"/>
      <c r="C1398"/>
      <c r="H1398"/>
      <c r="I1398"/>
      <c r="J1398"/>
      <c r="K1398"/>
      <c r="L1398"/>
      <c r="M1398"/>
      <c r="N1398"/>
      <c r="O1398"/>
      <c r="P1398"/>
    </row>
    <row r="1399" spans="1:16" x14ac:dyDescent="0.2">
      <c r="A1399"/>
      <c r="B1399"/>
      <c r="C1399"/>
      <c r="H1399"/>
      <c r="I1399"/>
      <c r="J1399"/>
      <c r="K1399"/>
      <c r="L1399"/>
      <c r="M1399"/>
      <c r="N1399"/>
      <c r="O1399"/>
      <c r="P1399"/>
    </row>
    <row r="1400" spans="1:16" x14ac:dyDescent="0.2">
      <c r="A1400"/>
      <c r="B1400"/>
      <c r="C1400"/>
      <c r="H1400"/>
      <c r="I1400"/>
      <c r="J1400"/>
      <c r="K1400"/>
      <c r="L1400"/>
      <c r="M1400"/>
      <c r="N1400"/>
      <c r="O1400"/>
      <c r="P1400"/>
    </row>
    <row r="1401" spans="1:16" x14ac:dyDescent="0.2">
      <c r="A1401"/>
      <c r="B1401"/>
      <c r="C1401"/>
      <c r="H1401"/>
      <c r="I1401"/>
      <c r="J1401"/>
      <c r="K1401"/>
      <c r="L1401"/>
      <c r="M1401"/>
      <c r="N1401"/>
      <c r="O1401"/>
      <c r="P1401"/>
    </row>
    <row r="1402" spans="1:16" x14ac:dyDescent="0.2">
      <c r="A1402"/>
      <c r="B1402"/>
      <c r="C1402"/>
      <c r="H1402"/>
      <c r="I1402"/>
      <c r="J1402"/>
      <c r="K1402"/>
      <c r="L1402"/>
      <c r="M1402"/>
      <c r="N1402"/>
      <c r="O1402"/>
      <c r="P1402"/>
    </row>
    <row r="1403" spans="1:16" x14ac:dyDescent="0.2">
      <c r="A1403"/>
      <c r="B1403"/>
      <c r="C1403"/>
      <c r="H1403"/>
      <c r="I1403"/>
      <c r="J1403"/>
      <c r="K1403"/>
      <c r="L1403"/>
      <c r="M1403"/>
      <c r="N1403"/>
      <c r="O1403"/>
      <c r="P1403"/>
    </row>
    <row r="1404" spans="1:16" x14ac:dyDescent="0.2">
      <c r="A1404"/>
      <c r="B1404"/>
      <c r="C1404"/>
      <c r="H1404"/>
      <c r="I1404"/>
      <c r="J1404"/>
      <c r="K1404"/>
      <c r="L1404"/>
      <c r="M1404"/>
      <c r="N1404"/>
      <c r="O1404"/>
      <c r="P1404"/>
    </row>
    <row r="1405" spans="1:16" x14ac:dyDescent="0.2">
      <c r="A1405"/>
      <c r="B1405"/>
      <c r="C1405"/>
      <c r="H1405"/>
      <c r="I1405"/>
      <c r="J1405"/>
      <c r="K1405"/>
      <c r="L1405"/>
      <c r="M1405"/>
      <c r="N1405"/>
      <c r="O1405"/>
      <c r="P1405"/>
    </row>
    <row r="1406" spans="1:16" x14ac:dyDescent="0.2">
      <c r="A1406"/>
      <c r="B1406"/>
      <c r="C1406"/>
      <c r="H1406"/>
      <c r="I1406"/>
      <c r="J1406"/>
      <c r="K1406"/>
      <c r="L1406"/>
      <c r="M1406"/>
      <c r="N1406"/>
      <c r="O1406"/>
      <c r="P1406"/>
    </row>
    <row r="1407" spans="1:16" x14ac:dyDescent="0.2">
      <c r="A1407"/>
      <c r="B1407"/>
      <c r="C1407"/>
      <c r="H1407"/>
      <c r="I1407"/>
      <c r="J1407"/>
      <c r="K1407"/>
      <c r="L1407"/>
      <c r="M1407"/>
      <c r="N1407"/>
      <c r="O1407"/>
      <c r="P1407"/>
    </row>
    <row r="1408" spans="1:16" x14ac:dyDescent="0.2">
      <c r="A1408"/>
      <c r="B1408"/>
      <c r="C1408"/>
      <c r="H1408"/>
      <c r="I1408"/>
      <c r="J1408"/>
      <c r="K1408"/>
      <c r="L1408"/>
      <c r="M1408"/>
      <c r="N1408"/>
      <c r="O1408"/>
      <c r="P1408"/>
    </row>
    <row r="1409" spans="1:16" x14ac:dyDescent="0.2">
      <c r="A1409"/>
      <c r="B1409"/>
      <c r="C1409"/>
      <c r="H1409"/>
      <c r="I1409"/>
      <c r="J1409"/>
      <c r="K1409"/>
      <c r="L1409"/>
      <c r="M1409"/>
      <c r="N1409"/>
      <c r="O1409"/>
      <c r="P1409"/>
    </row>
    <row r="1410" spans="1:16" x14ac:dyDescent="0.2">
      <c r="A1410"/>
      <c r="B1410"/>
      <c r="C1410"/>
      <c r="H1410"/>
      <c r="I1410"/>
      <c r="J1410"/>
      <c r="K1410"/>
      <c r="L1410"/>
      <c r="M1410"/>
      <c r="N1410"/>
      <c r="O1410"/>
      <c r="P1410"/>
    </row>
    <row r="1411" spans="1:16" x14ac:dyDescent="0.2">
      <c r="A1411"/>
      <c r="B1411"/>
      <c r="C1411"/>
      <c r="H1411"/>
      <c r="I1411"/>
      <c r="J1411"/>
      <c r="K1411"/>
      <c r="L1411"/>
      <c r="M1411"/>
      <c r="N1411"/>
      <c r="O1411"/>
      <c r="P1411"/>
    </row>
    <row r="1412" spans="1:16" x14ac:dyDescent="0.2">
      <c r="A1412"/>
      <c r="B1412"/>
      <c r="C1412"/>
      <c r="H1412"/>
      <c r="I1412"/>
      <c r="J1412"/>
      <c r="K1412"/>
      <c r="L1412"/>
      <c r="M1412"/>
      <c r="N1412"/>
      <c r="O1412"/>
      <c r="P1412"/>
    </row>
    <row r="1413" spans="1:16" x14ac:dyDescent="0.2">
      <c r="A1413"/>
      <c r="B1413"/>
      <c r="C1413"/>
      <c r="H1413"/>
      <c r="I1413"/>
      <c r="J1413"/>
      <c r="K1413"/>
      <c r="L1413"/>
      <c r="M1413"/>
      <c r="N1413"/>
      <c r="O1413"/>
      <c r="P1413"/>
    </row>
    <row r="1414" spans="1:16" x14ac:dyDescent="0.2">
      <c r="A1414"/>
      <c r="B1414"/>
      <c r="C1414"/>
      <c r="H1414"/>
      <c r="I1414"/>
      <c r="J1414"/>
      <c r="K1414"/>
      <c r="L1414"/>
      <c r="M1414"/>
      <c r="N1414"/>
      <c r="O1414"/>
      <c r="P1414"/>
    </row>
    <row r="1415" spans="1:16" x14ac:dyDescent="0.2">
      <c r="A1415"/>
      <c r="B1415"/>
      <c r="C1415"/>
      <c r="H1415"/>
      <c r="I1415"/>
      <c r="J1415"/>
      <c r="K1415"/>
      <c r="L1415"/>
      <c r="M1415"/>
      <c r="N1415"/>
      <c r="O1415"/>
      <c r="P1415"/>
    </row>
    <row r="1416" spans="1:16" x14ac:dyDescent="0.2">
      <c r="A1416"/>
      <c r="B1416"/>
      <c r="C1416"/>
      <c r="H1416"/>
      <c r="I1416"/>
      <c r="J1416"/>
      <c r="K1416"/>
      <c r="L1416"/>
      <c r="M1416"/>
      <c r="N1416"/>
      <c r="O1416"/>
      <c r="P1416"/>
    </row>
    <row r="1417" spans="1:16" x14ac:dyDescent="0.2">
      <c r="A1417"/>
      <c r="B1417"/>
      <c r="C1417"/>
      <c r="H1417"/>
      <c r="I1417"/>
      <c r="J1417"/>
      <c r="K1417"/>
      <c r="L1417"/>
      <c r="M1417"/>
      <c r="N1417"/>
      <c r="O1417"/>
      <c r="P1417"/>
    </row>
    <row r="1418" spans="1:16" x14ac:dyDescent="0.2">
      <c r="A1418"/>
      <c r="B1418"/>
      <c r="C1418"/>
      <c r="H1418"/>
      <c r="I1418"/>
      <c r="J1418"/>
      <c r="K1418"/>
      <c r="L1418"/>
      <c r="M1418"/>
      <c r="N1418"/>
      <c r="O1418"/>
      <c r="P1418"/>
    </row>
    <row r="1419" spans="1:16" x14ac:dyDescent="0.2">
      <c r="A1419"/>
      <c r="B1419"/>
      <c r="C1419"/>
      <c r="H1419"/>
      <c r="I1419"/>
      <c r="J1419"/>
      <c r="K1419"/>
      <c r="L1419"/>
      <c r="M1419"/>
      <c r="N1419"/>
      <c r="O1419"/>
      <c r="P1419"/>
    </row>
    <row r="1420" spans="1:16" x14ac:dyDescent="0.2">
      <c r="A1420"/>
      <c r="B1420"/>
      <c r="C1420"/>
      <c r="H1420"/>
      <c r="I1420"/>
      <c r="J1420"/>
      <c r="K1420"/>
      <c r="L1420"/>
      <c r="M1420"/>
      <c r="N1420"/>
      <c r="O1420"/>
      <c r="P1420"/>
    </row>
    <row r="1421" spans="1:16" x14ac:dyDescent="0.2">
      <c r="A1421"/>
      <c r="B1421"/>
      <c r="C1421"/>
      <c r="H1421"/>
      <c r="I1421"/>
      <c r="J1421"/>
      <c r="K1421"/>
      <c r="L1421"/>
      <c r="M1421"/>
      <c r="N1421"/>
      <c r="O1421"/>
      <c r="P1421"/>
    </row>
    <row r="1422" spans="1:16" x14ac:dyDescent="0.2">
      <c r="A1422"/>
      <c r="B1422"/>
      <c r="C1422"/>
      <c r="H1422"/>
      <c r="I1422"/>
      <c r="J1422"/>
      <c r="K1422"/>
      <c r="L1422"/>
      <c r="M1422"/>
      <c r="N1422"/>
      <c r="O1422"/>
      <c r="P1422"/>
    </row>
    <row r="1423" spans="1:16" x14ac:dyDescent="0.2">
      <c r="A1423"/>
      <c r="B1423"/>
      <c r="C1423"/>
      <c r="H1423"/>
      <c r="I1423"/>
      <c r="J1423"/>
      <c r="K1423"/>
      <c r="L1423"/>
      <c r="M1423"/>
      <c r="N1423"/>
      <c r="O1423"/>
      <c r="P1423"/>
    </row>
    <row r="1424" spans="1:16" x14ac:dyDescent="0.2">
      <c r="A1424"/>
      <c r="B1424"/>
      <c r="C1424"/>
      <c r="H1424"/>
      <c r="I1424"/>
      <c r="J1424"/>
      <c r="K1424"/>
      <c r="L1424"/>
      <c r="M1424"/>
      <c r="N1424"/>
      <c r="O1424"/>
      <c r="P1424"/>
    </row>
    <row r="1425" spans="1:16" x14ac:dyDescent="0.2">
      <c r="A1425"/>
      <c r="B1425"/>
      <c r="C1425"/>
      <c r="H1425"/>
      <c r="I1425"/>
      <c r="J1425"/>
      <c r="K1425"/>
      <c r="L1425"/>
      <c r="M1425"/>
      <c r="N1425"/>
      <c r="O1425"/>
      <c r="P1425"/>
    </row>
    <row r="1426" spans="1:16" x14ac:dyDescent="0.2">
      <c r="A1426"/>
      <c r="B1426"/>
      <c r="C1426"/>
      <c r="H1426"/>
      <c r="I1426"/>
      <c r="J1426"/>
      <c r="K1426"/>
      <c r="L1426"/>
      <c r="M1426"/>
      <c r="N1426"/>
      <c r="O1426"/>
      <c r="P1426"/>
    </row>
    <row r="1427" spans="1:16" x14ac:dyDescent="0.2">
      <c r="A1427"/>
      <c r="B1427"/>
      <c r="C1427"/>
      <c r="H1427"/>
      <c r="I1427"/>
      <c r="J1427"/>
      <c r="K1427"/>
      <c r="L1427"/>
      <c r="M1427"/>
      <c r="N1427"/>
      <c r="O1427"/>
      <c r="P1427"/>
    </row>
    <row r="1428" spans="1:16" x14ac:dyDescent="0.2">
      <c r="A1428"/>
      <c r="B1428"/>
      <c r="C1428"/>
      <c r="H1428"/>
      <c r="I1428"/>
      <c r="J1428"/>
      <c r="K1428"/>
      <c r="L1428"/>
      <c r="M1428"/>
      <c r="N1428"/>
      <c r="O1428"/>
      <c r="P1428"/>
    </row>
    <row r="1429" spans="1:16" x14ac:dyDescent="0.2">
      <c r="A1429"/>
      <c r="B1429"/>
      <c r="C1429"/>
      <c r="H1429"/>
      <c r="I1429"/>
      <c r="J1429"/>
      <c r="K1429"/>
      <c r="L1429"/>
      <c r="M1429"/>
      <c r="N1429"/>
      <c r="O1429"/>
      <c r="P1429"/>
    </row>
    <row r="1430" spans="1:16" x14ac:dyDescent="0.2">
      <c r="A1430"/>
      <c r="B1430"/>
      <c r="C1430"/>
      <c r="H1430"/>
      <c r="I1430"/>
      <c r="J1430"/>
      <c r="K1430"/>
      <c r="L1430"/>
      <c r="M1430"/>
      <c r="N1430"/>
      <c r="O1430"/>
      <c r="P1430"/>
    </row>
    <row r="1431" spans="1:16" x14ac:dyDescent="0.2">
      <c r="A1431"/>
      <c r="B1431"/>
      <c r="C1431"/>
      <c r="H1431"/>
      <c r="I1431"/>
      <c r="J1431"/>
      <c r="K1431"/>
      <c r="L1431"/>
      <c r="M1431"/>
      <c r="N1431"/>
      <c r="O1431"/>
      <c r="P1431"/>
    </row>
    <row r="1432" spans="1:16" x14ac:dyDescent="0.2">
      <c r="A1432"/>
      <c r="B1432"/>
      <c r="C1432"/>
      <c r="H1432"/>
      <c r="I1432"/>
      <c r="J1432"/>
      <c r="K1432"/>
      <c r="L1432"/>
      <c r="M1432"/>
      <c r="N1432"/>
      <c r="O1432"/>
      <c r="P1432"/>
    </row>
    <row r="1433" spans="1:16" x14ac:dyDescent="0.2">
      <c r="A1433"/>
      <c r="B1433"/>
      <c r="C1433"/>
      <c r="H1433"/>
      <c r="I1433"/>
      <c r="J1433"/>
      <c r="K1433"/>
      <c r="L1433"/>
      <c r="M1433"/>
      <c r="N1433"/>
      <c r="O1433"/>
      <c r="P1433"/>
    </row>
    <row r="1434" spans="1:16" x14ac:dyDescent="0.2">
      <c r="A1434"/>
      <c r="B1434"/>
      <c r="C1434"/>
      <c r="H1434"/>
      <c r="I1434"/>
      <c r="J1434"/>
      <c r="K1434"/>
      <c r="L1434"/>
      <c r="M1434"/>
      <c r="N1434"/>
      <c r="O1434"/>
      <c r="P1434"/>
    </row>
    <row r="1435" spans="1:16" x14ac:dyDescent="0.2">
      <c r="A1435"/>
      <c r="B1435"/>
      <c r="C1435"/>
      <c r="H1435"/>
      <c r="I1435"/>
      <c r="J1435"/>
      <c r="K1435"/>
      <c r="L1435"/>
      <c r="M1435"/>
      <c r="N1435"/>
      <c r="O1435"/>
      <c r="P1435"/>
    </row>
    <row r="1436" spans="1:16" x14ac:dyDescent="0.2">
      <c r="A1436"/>
      <c r="B1436"/>
      <c r="C1436"/>
      <c r="H1436"/>
      <c r="I1436"/>
      <c r="J1436"/>
      <c r="K1436"/>
      <c r="L1436"/>
      <c r="M1436"/>
      <c r="N1436"/>
      <c r="O1436"/>
      <c r="P1436"/>
    </row>
    <row r="1437" spans="1:16" x14ac:dyDescent="0.2">
      <c r="A1437"/>
      <c r="B1437"/>
      <c r="C1437"/>
      <c r="H1437"/>
      <c r="I1437"/>
      <c r="J1437"/>
      <c r="K1437"/>
      <c r="L1437"/>
      <c r="M1437"/>
      <c r="N1437"/>
      <c r="O1437"/>
      <c r="P1437"/>
    </row>
    <row r="1438" spans="1:16" x14ac:dyDescent="0.2">
      <c r="A1438"/>
      <c r="B1438"/>
      <c r="C1438"/>
      <c r="H1438"/>
      <c r="I1438"/>
      <c r="J1438"/>
      <c r="K1438"/>
      <c r="L1438"/>
      <c r="M1438"/>
      <c r="N1438"/>
      <c r="O1438"/>
      <c r="P1438"/>
    </row>
    <row r="1439" spans="1:16" x14ac:dyDescent="0.2">
      <c r="A1439"/>
      <c r="B1439"/>
      <c r="C1439"/>
      <c r="H1439"/>
      <c r="I1439"/>
      <c r="J1439"/>
      <c r="K1439"/>
      <c r="L1439"/>
      <c r="M1439"/>
      <c r="N1439"/>
      <c r="O1439"/>
      <c r="P1439"/>
    </row>
    <row r="1440" spans="1:16" x14ac:dyDescent="0.2">
      <c r="A1440"/>
      <c r="B1440"/>
      <c r="C1440"/>
      <c r="H1440"/>
      <c r="I1440"/>
      <c r="J1440"/>
      <c r="K1440"/>
      <c r="L1440"/>
      <c r="M1440"/>
      <c r="N1440"/>
      <c r="O1440"/>
      <c r="P1440"/>
    </row>
    <row r="1441" spans="1:16" x14ac:dyDescent="0.2">
      <c r="A1441"/>
      <c r="B1441"/>
      <c r="C1441"/>
      <c r="H1441"/>
      <c r="I1441"/>
      <c r="J1441"/>
      <c r="K1441"/>
      <c r="L1441"/>
      <c r="M1441"/>
      <c r="N1441"/>
      <c r="O1441"/>
      <c r="P1441"/>
    </row>
    <row r="1442" spans="1:16" x14ac:dyDescent="0.2">
      <c r="A1442"/>
      <c r="B1442"/>
      <c r="C1442"/>
      <c r="H1442"/>
      <c r="I1442"/>
      <c r="J1442"/>
      <c r="K1442"/>
      <c r="L1442"/>
      <c r="M1442"/>
      <c r="N1442"/>
      <c r="O1442"/>
      <c r="P1442"/>
    </row>
    <row r="1443" spans="1:16" x14ac:dyDescent="0.2">
      <c r="A1443"/>
      <c r="B1443"/>
      <c r="C1443"/>
      <c r="H1443"/>
      <c r="I1443"/>
      <c r="J1443"/>
      <c r="K1443"/>
      <c r="L1443"/>
      <c r="M1443"/>
      <c r="N1443"/>
      <c r="O1443"/>
      <c r="P1443"/>
    </row>
    <row r="1444" spans="1:16" x14ac:dyDescent="0.2">
      <c r="A1444"/>
      <c r="B1444"/>
      <c r="C1444"/>
      <c r="H1444"/>
      <c r="I1444"/>
      <c r="J1444"/>
      <c r="K1444"/>
      <c r="L1444"/>
      <c r="M1444"/>
      <c r="N1444"/>
      <c r="O1444"/>
      <c r="P1444"/>
    </row>
    <row r="1445" spans="1:16" x14ac:dyDescent="0.2">
      <c r="A1445"/>
      <c r="B1445"/>
      <c r="C1445"/>
      <c r="H1445"/>
      <c r="I1445"/>
      <c r="J1445"/>
      <c r="K1445"/>
      <c r="L1445"/>
      <c r="M1445"/>
      <c r="N1445"/>
      <c r="O1445"/>
      <c r="P1445"/>
    </row>
    <row r="1446" spans="1:16" x14ac:dyDescent="0.2">
      <c r="A1446"/>
      <c r="B1446"/>
      <c r="C1446"/>
      <c r="H1446"/>
      <c r="I1446"/>
      <c r="J1446"/>
      <c r="K1446"/>
      <c r="L1446"/>
      <c r="M1446"/>
      <c r="N1446"/>
      <c r="O1446"/>
      <c r="P1446"/>
    </row>
    <row r="1447" spans="1:16" x14ac:dyDescent="0.2">
      <c r="A1447"/>
      <c r="B1447"/>
      <c r="C1447"/>
      <c r="H1447"/>
      <c r="I1447"/>
      <c r="J1447"/>
      <c r="K1447"/>
      <c r="L1447"/>
      <c r="M1447"/>
      <c r="N1447"/>
      <c r="O1447"/>
      <c r="P1447"/>
    </row>
    <row r="1448" spans="1:16" x14ac:dyDescent="0.2">
      <c r="A1448"/>
      <c r="B1448"/>
      <c r="C1448"/>
      <c r="H1448"/>
      <c r="I1448"/>
      <c r="J1448"/>
      <c r="K1448"/>
      <c r="L1448"/>
      <c r="M1448"/>
      <c r="N1448"/>
      <c r="O1448"/>
      <c r="P1448"/>
    </row>
    <row r="1449" spans="1:16" x14ac:dyDescent="0.2">
      <c r="A1449"/>
      <c r="B1449"/>
      <c r="C1449"/>
      <c r="H1449"/>
      <c r="I1449"/>
      <c r="J1449"/>
      <c r="K1449"/>
      <c r="L1449"/>
      <c r="M1449"/>
      <c r="N1449"/>
      <c r="O1449"/>
      <c r="P1449"/>
    </row>
    <row r="1450" spans="1:16" x14ac:dyDescent="0.2">
      <c r="A1450"/>
      <c r="B1450"/>
      <c r="C1450"/>
      <c r="H1450"/>
      <c r="I1450"/>
      <c r="J1450"/>
      <c r="K1450"/>
      <c r="L1450"/>
      <c r="M1450"/>
      <c r="N1450"/>
      <c r="O1450"/>
      <c r="P1450"/>
    </row>
    <row r="1451" spans="1:16" x14ac:dyDescent="0.2">
      <c r="A1451"/>
      <c r="B1451"/>
      <c r="C1451"/>
      <c r="H1451"/>
      <c r="I1451"/>
      <c r="J1451"/>
      <c r="K1451"/>
      <c r="L1451"/>
      <c r="M1451"/>
      <c r="N1451"/>
      <c r="O1451"/>
      <c r="P1451"/>
    </row>
    <row r="1452" spans="1:16" x14ac:dyDescent="0.2">
      <c r="A1452"/>
      <c r="B1452"/>
      <c r="C1452"/>
      <c r="H1452"/>
      <c r="I1452"/>
      <c r="J1452"/>
      <c r="K1452"/>
      <c r="L1452"/>
      <c r="M1452"/>
      <c r="N1452"/>
      <c r="O1452"/>
      <c r="P1452"/>
    </row>
    <row r="1453" spans="1:16" x14ac:dyDescent="0.2">
      <c r="A1453"/>
      <c r="B1453"/>
      <c r="C1453"/>
      <c r="H1453"/>
      <c r="I1453"/>
      <c r="J1453"/>
      <c r="K1453"/>
      <c r="L1453"/>
      <c r="M1453"/>
      <c r="N1453"/>
      <c r="O1453"/>
      <c r="P1453"/>
    </row>
    <row r="1454" spans="1:16" x14ac:dyDescent="0.2">
      <c r="A1454"/>
      <c r="B1454"/>
      <c r="C1454"/>
      <c r="H1454"/>
      <c r="I1454"/>
      <c r="J1454"/>
      <c r="K1454"/>
      <c r="L1454"/>
      <c r="M1454"/>
      <c r="N1454"/>
      <c r="O1454"/>
      <c r="P1454"/>
    </row>
    <row r="1455" spans="1:16" x14ac:dyDescent="0.2">
      <c r="A1455"/>
      <c r="B1455"/>
      <c r="C1455"/>
      <c r="H1455"/>
      <c r="I1455"/>
      <c r="J1455"/>
      <c r="K1455"/>
      <c r="L1455"/>
      <c r="M1455"/>
      <c r="N1455"/>
      <c r="O1455"/>
      <c r="P1455"/>
    </row>
    <row r="1456" spans="1:16" x14ac:dyDescent="0.2">
      <c r="A1456"/>
      <c r="B1456"/>
      <c r="C1456"/>
      <c r="H1456"/>
      <c r="I1456"/>
      <c r="J1456"/>
      <c r="K1456"/>
      <c r="L1456"/>
      <c r="M1456"/>
      <c r="N1456"/>
      <c r="O1456"/>
      <c r="P1456"/>
    </row>
    <row r="1457" spans="1:16" x14ac:dyDescent="0.2">
      <c r="A1457"/>
      <c r="B1457"/>
      <c r="C1457"/>
      <c r="H1457"/>
      <c r="I1457"/>
      <c r="J1457"/>
      <c r="K1457"/>
      <c r="L1457"/>
      <c r="M1457"/>
      <c r="N1457"/>
      <c r="O1457"/>
      <c r="P1457"/>
    </row>
    <row r="1458" spans="1:16" x14ac:dyDescent="0.2">
      <c r="A1458"/>
      <c r="B1458"/>
      <c r="C1458"/>
      <c r="H1458"/>
      <c r="I1458"/>
      <c r="J1458"/>
      <c r="K1458"/>
      <c r="L1458"/>
      <c r="M1458"/>
      <c r="N1458"/>
      <c r="O1458"/>
      <c r="P1458"/>
    </row>
    <row r="1459" spans="1:16" x14ac:dyDescent="0.2">
      <c r="A1459"/>
      <c r="B1459"/>
      <c r="C1459"/>
      <c r="H1459"/>
      <c r="I1459"/>
      <c r="J1459"/>
      <c r="K1459"/>
      <c r="L1459"/>
      <c r="M1459"/>
      <c r="N1459"/>
      <c r="O1459"/>
      <c r="P1459"/>
    </row>
    <row r="1460" spans="1:16" x14ac:dyDescent="0.2">
      <c r="A1460"/>
      <c r="B1460"/>
      <c r="C1460"/>
      <c r="H1460"/>
      <c r="I1460"/>
      <c r="J1460"/>
      <c r="K1460"/>
      <c r="L1460"/>
      <c r="M1460"/>
      <c r="N1460"/>
      <c r="O1460"/>
      <c r="P1460"/>
    </row>
    <row r="1461" spans="1:16" x14ac:dyDescent="0.2">
      <c r="A1461"/>
      <c r="B1461"/>
      <c r="C1461"/>
      <c r="H1461"/>
      <c r="I1461"/>
      <c r="J1461"/>
      <c r="K1461"/>
      <c r="L1461"/>
      <c r="M1461"/>
      <c r="N1461"/>
      <c r="O1461"/>
      <c r="P1461"/>
    </row>
    <row r="1462" spans="1:16" x14ac:dyDescent="0.2">
      <c r="A1462"/>
      <c r="B1462"/>
      <c r="C1462"/>
      <c r="H1462"/>
      <c r="I1462"/>
      <c r="J1462"/>
      <c r="K1462"/>
      <c r="L1462"/>
      <c r="M1462"/>
      <c r="N1462"/>
      <c r="O1462"/>
      <c r="P1462"/>
    </row>
    <row r="1463" spans="1:16" x14ac:dyDescent="0.2">
      <c r="A1463"/>
      <c r="B1463"/>
      <c r="C1463"/>
      <c r="H1463"/>
      <c r="I1463"/>
      <c r="J1463"/>
      <c r="K1463"/>
      <c r="L1463"/>
      <c r="M1463"/>
      <c r="N1463"/>
      <c r="O1463"/>
      <c r="P1463"/>
    </row>
    <row r="1464" spans="1:16" x14ac:dyDescent="0.2">
      <c r="A1464"/>
      <c r="B1464"/>
      <c r="C1464"/>
      <c r="H1464"/>
      <c r="I1464"/>
      <c r="J1464"/>
      <c r="K1464"/>
      <c r="L1464"/>
      <c r="M1464"/>
      <c r="N1464"/>
      <c r="O1464"/>
      <c r="P1464"/>
    </row>
    <row r="1465" spans="1:16" x14ac:dyDescent="0.2">
      <c r="A1465"/>
      <c r="B1465"/>
      <c r="C1465"/>
      <c r="H1465"/>
      <c r="I1465"/>
      <c r="J1465"/>
      <c r="K1465"/>
      <c r="L1465"/>
      <c r="M1465"/>
      <c r="N1465"/>
      <c r="O1465"/>
      <c r="P1465"/>
    </row>
    <row r="1466" spans="1:16" x14ac:dyDescent="0.2">
      <c r="A1466"/>
      <c r="B1466"/>
      <c r="C1466"/>
      <c r="H1466"/>
      <c r="I1466"/>
      <c r="J1466"/>
      <c r="K1466"/>
      <c r="L1466"/>
      <c r="M1466"/>
      <c r="N1466"/>
      <c r="O1466"/>
      <c r="P1466"/>
    </row>
    <row r="1467" spans="1:16" x14ac:dyDescent="0.2">
      <c r="A1467"/>
      <c r="B1467"/>
      <c r="C1467"/>
      <c r="H1467"/>
      <c r="I1467"/>
      <c r="J1467"/>
      <c r="K1467"/>
      <c r="L1467"/>
      <c r="M1467"/>
      <c r="N1467"/>
      <c r="O1467"/>
      <c r="P1467"/>
    </row>
    <row r="1468" spans="1:16" x14ac:dyDescent="0.2">
      <c r="A1468"/>
      <c r="B1468"/>
      <c r="C1468"/>
      <c r="H1468"/>
      <c r="I1468"/>
      <c r="J1468"/>
      <c r="K1468"/>
      <c r="L1468"/>
      <c r="M1468"/>
      <c r="N1468"/>
      <c r="O1468"/>
      <c r="P1468"/>
    </row>
    <row r="1469" spans="1:16" x14ac:dyDescent="0.2">
      <c r="A1469"/>
      <c r="B1469"/>
      <c r="C1469"/>
      <c r="H1469"/>
      <c r="I1469"/>
      <c r="J1469"/>
      <c r="K1469"/>
      <c r="L1469"/>
      <c r="M1469"/>
      <c r="N1469"/>
      <c r="O1469"/>
      <c r="P1469"/>
    </row>
    <row r="1470" spans="1:16" x14ac:dyDescent="0.2">
      <c r="A1470"/>
      <c r="B1470"/>
      <c r="C1470"/>
      <c r="H1470"/>
      <c r="I1470"/>
      <c r="J1470"/>
      <c r="K1470"/>
      <c r="L1470"/>
      <c r="M1470"/>
      <c r="N1470"/>
      <c r="O1470"/>
      <c r="P1470"/>
    </row>
    <row r="1471" spans="1:16" x14ac:dyDescent="0.2">
      <c r="A1471"/>
      <c r="B1471"/>
      <c r="C1471"/>
      <c r="H1471"/>
      <c r="I1471"/>
      <c r="J1471"/>
      <c r="K1471"/>
      <c r="L1471"/>
      <c r="M1471"/>
      <c r="N1471"/>
      <c r="O1471"/>
      <c r="P1471"/>
    </row>
    <row r="1472" spans="1:16" x14ac:dyDescent="0.2">
      <c r="A1472"/>
      <c r="B1472"/>
      <c r="C1472"/>
      <c r="H1472"/>
      <c r="I1472"/>
      <c r="J1472"/>
      <c r="K1472"/>
      <c r="L1472"/>
      <c r="M1472"/>
      <c r="N1472"/>
      <c r="O1472"/>
      <c r="P1472"/>
    </row>
    <row r="1473" spans="1:16" x14ac:dyDescent="0.2">
      <c r="A1473"/>
      <c r="B1473"/>
      <c r="C1473"/>
      <c r="H1473"/>
      <c r="I1473"/>
      <c r="J1473"/>
      <c r="K1473"/>
      <c r="L1473"/>
      <c r="M1473"/>
      <c r="N1473"/>
      <c r="O1473"/>
      <c r="P1473"/>
    </row>
    <row r="1474" spans="1:16" x14ac:dyDescent="0.2">
      <c r="A1474"/>
      <c r="B1474"/>
      <c r="C1474"/>
      <c r="H1474"/>
      <c r="I1474"/>
      <c r="J1474"/>
      <c r="K1474"/>
      <c r="L1474"/>
      <c r="M1474"/>
      <c r="N1474"/>
      <c r="O1474"/>
      <c r="P1474"/>
    </row>
    <row r="1475" spans="1:16" x14ac:dyDescent="0.2">
      <c r="A1475"/>
      <c r="B1475"/>
      <c r="C1475"/>
      <c r="H1475"/>
      <c r="I1475"/>
      <c r="J1475"/>
      <c r="K1475"/>
      <c r="L1475"/>
      <c r="M1475"/>
      <c r="N1475"/>
      <c r="O1475"/>
      <c r="P1475"/>
    </row>
    <row r="1476" spans="1:16" x14ac:dyDescent="0.2">
      <c r="A1476"/>
      <c r="B1476"/>
      <c r="C1476"/>
      <c r="H1476"/>
      <c r="I1476"/>
      <c r="J1476"/>
      <c r="K1476"/>
      <c r="L1476"/>
      <c r="M1476"/>
      <c r="N1476"/>
      <c r="O1476"/>
      <c r="P1476"/>
    </row>
    <row r="1477" spans="1:16" x14ac:dyDescent="0.2">
      <c r="A1477"/>
      <c r="B1477"/>
      <c r="C1477"/>
      <c r="H1477"/>
      <c r="I1477"/>
      <c r="J1477"/>
      <c r="K1477"/>
      <c r="L1477"/>
      <c r="M1477"/>
      <c r="N1477"/>
      <c r="O1477"/>
      <c r="P1477"/>
    </row>
    <row r="1478" spans="1:16" x14ac:dyDescent="0.2">
      <c r="A1478"/>
      <c r="B1478"/>
      <c r="C1478"/>
      <c r="H1478"/>
      <c r="I1478"/>
      <c r="J1478"/>
      <c r="K1478"/>
      <c r="L1478"/>
      <c r="M1478"/>
      <c r="N1478"/>
      <c r="O1478"/>
      <c r="P1478"/>
    </row>
    <row r="1479" spans="1:16" x14ac:dyDescent="0.2">
      <c r="A1479"/>
      <c r="B1479"/>
      <c r="C1479"/>
      <c r="H1479"/>
      <c r="I1479"/>
      <c r="J1479"/>
      <c r="K1479"/>
      <c r="L1479"/>
      <c r="M1479"/>
      <c r="N1479"/>
      <c r="O1479"/>
      <c r="P1479"/>
    </row>
    <row r="1480" spans="1:16" x14ac:dyDescent="0.2">
      <c r="A1480"/>
      <c r="B1480"/>
      <c r="C1480"/>
      <c r="H1480"/>
      <c r="I1480"/>
      <c r="J1480"/>
      <c r="K1480"/>
      <c r="L1480"/>
      <c r="M1480"/>
      <c r="N1480"/>
      <c r="O1480"/>
      <c r="P1480"/>
    </row>
    <row r="1481" spans="1:16" x14ac:dyDescent="0.2">
      <c r="A1481"/>
      <c r="B1481"/>
      <c r="C1481"/>
      <c r="H1481"/>
      <c r="I1481"/>
      <c r="J1481"/>
      <c r="K1481"/>
      <c r="L1481"/>
      <c r="M1481"/>
      <c r="N1481"/>
      <c r="O1481"/>
      <c r="P1481"/>
    </row>
    <row r="1482" spans="1:16" x14ac:dyDescent="0.2">
      <c r="A1482"/>
      <c r="B1482"/>
      <c r="C1482"/>
      <c r="H1482"/>
      <c r="I1482"/>
      <c r="J1482"/>
      <c r="K1482"/>
      <c r="L1482"/>
      <c r="M1482"/>
      <c r="N1482"/>
      <c r="O1482"/>
      <c r="P1482"/>
    </row>
    <row r="1483" spans="1:16" x14ac:dyDescent="0.2">
      <c r="A1483"/>
      <c r="B1483"/>
      <c r="C1483"/>
      <c r="H1483"/>
      <c r="I1483"/>
      <c r="J1483"/>
      <c r="K1483"/>
      <c r="L1483"/>
      <c r="M1483"/>
      <c r="N1483"/>
      <c r="O1483"/>
      <c r="P1483"/>
    </row>
    <row r="1484" spans="1:16" x14ac:dyDescent="0.2">
      <c r="A1484"/>
      <c r="B1484"/>
      <c r="C1484"/>
      <c r="H1484"/>
      <c r="I1484"/>
      <c r="J1484"/>
      <c r="K1484"/>
      <c r="L1484"/>
      <c r="M1484"/>
      <c r="N1484"/>
      <c r="O1484"/>
      <c r="P1484"/>
    </row>
    <row r="1485" spans="1:16" x14ac:dyDescent="0.2">
      <c r="A1485"/>
      <c r="B1485"/>
      <c r="C1485"/>
      <c r="H1485"/>
      <c r="I1485"/>
      <c r="J1485"/>
      <c r="K1485"/>
      <c r="L1485"/>
      <c r="M1485"/>
      <c r="N1485"/>
      <c r="O1485"/>
      <c r="P1485"/>
    </row>
    <row r="1486" spans="1:16" x14ac:dyDescent="0.2">
      <c r="A1486"/>
      <c r="B1486"/>
      <c r="C1486"/>
      <c r="H1486"/>
      <c r="I1486"/>
      <c r="J1486"/>
      <c r="K1486"/>
      <c r="L1486"/>
      <c r="M1486"/>
      <c r="N1486"/>
      <c r="O1486"/>
      <c r="P1486"/>
    </row>
    <row r="1487" spans="1:16" x14ac:dyDescent="0.2">
      <c r="A1487"/>
      <c r="B1487"/>
      <c r="C1487"/>
      <c r="H1487"/>
      <c r="I1487"/>
      <c r="J1487"/>
      <c r="K1487"/>
      <c r="L1487"/>
      <c r="M1487"/>
      <c r="N1487"/>
      <c r="O1487"/>
      <c r="P1487"/>
    </row>
    <row r="1488" spans="1:16" x14ac:dyDescent="0.2">
      <c r="A1488"/>
      <c r="B1488"/>
      <c r="C1488"/>
      <c r="H1488"/>
      <c r="I1488"/>
      <c r="J1488"/>
      <c r="K1488"/>
      <c r="L1488"/>
      <c r="M1488"/>
      <c r="N1488"/>
      <c r="O1488"/>
      <c r="P1488"/>
    </row>
    <row r="1489" spans="1:16" x14ac:dyDescent="0.2">
      <c r="A1489"/>
      <c r="B1489"/>
      <c r="C1489"/>
      <c r="H1489"/>
      <c r="I1489"/>
      <c r="J1489"/>
      <c r="K1489"/>
      <c r="L1489"/>
      <c r="M1489"/>
      <c r="N1489"/>
      <c r="O1489"/>
      <c r="P1489"/>
    </row>
    <row r="1490" spans="1:16" x14ac:dyDescent="0.2">
      <c r="A1490"/>
      <c r="B1490"/>
      <c r="C1490"/>
      <c r="H1490"/>
      <c r="I1490"/>
      <c r="J1490"/>
      <c r="K1490"/>
      <c r="L1490"/>
      <c r="M1490"/>
      <c r="N1490"/>
      <c r="O1490"/>
      <c r="P1490"/>
    </row>
    <row r="1491" spans="1:16" x14ac:dyDescent="0.2">
      <c r="A1491"/>
      <c r="B1491"/>
      <c r="C1491"/>
      <c r="H1491"/>
      <c r="I1491"/>
      <c r="J1491"/>
      <c r="K1491"/>
      <c r="L1491"/>
      <c r="M1491"/>
      <c r="N1491"/>
      <c r="O1491"/>
      <c r="P1491"/>
    </row>
    <row r="1492" spans="1:16" x14ac:dyDescent="0.2">
      <c r="A1492"/>
      <c r="B1492"/>
      <c r="C1492"/>
      <c r="H1492"/>
      <c r="I1492"/>
      <c r="J1492"/>
      <c r="K1492"/>
      <c r="L1492"/>
      <c r="M1492"/>
      <c r="N1492"/>
      <c r="O1492"/>
      <c r="P1492"/>
    </row>
    <row r="1493" spans="1:16" x14ac:dyDescent="0.2">
      <c r="A1493"/>
      <c r="B1493"/>
      <c r="C1493"/>
      <c r="H1493"/>
      <c r="I1493"/>
      <c r="J1493"/>
      <c r="K1493"/>
      <c r="L1493"/>
      <c r="M1493"/>
      <c r="N1493"/>
      <c r="O1493"/>
      <c r="P1493"/>
    </row>
    <row r="1494" spans="1:16" x14ac:dyDescent="0.2">
      <c r="A1494"/>
      <c r="B1494"/>
      <c r="C1494"/>
      <c r="H1494"/>
      <c r="I1494"/>
      <c r="J1494"/>
      <c r="K1494"/>
      <c r="L1494"/>
      <c r="M1494"/>
      <c r="N1494"/>
      <c r="O1494"/>
      <c r="P1494"/>
    </row>
    <row r="1495" spans="1:16" x14ac:dyDescent="0.2">
      <c r="A1495"/>
      <c r="B1495"/>
      <c r="C1495"/>
      <c r="H1495"/>
      <c r="I1495"/>
      <c r="J1495"/>
      <c r="K1495"/>
      <c r="L1495"/>
      <c r="M1495"/>
      <c r="N1495"/>
      <c r="O1495"/>
      <c r="P1495"/>
    </row>
    <row r="1496" spans="1:16" x14ac:dyDescent="0.2">
      <c r="A1496"/>
      <c r="B1496"/>
      <c r="C1496"/>
      <c r="H1496"/>
      <c r="I1496"/>
      <c r="J1496"/>
      <c r="K1496"/>
      <c r="L1496"/>
      <c r="M1496"/>
      <c r="N1496"/>
      <c r="O1496"/>
      <c r="P1496"/>
    </row>
    <row r="1497" spans="1:16" x14ac:dyDescent="0.2">
      <c r="A1497"/>
      <c r="B1497"/>
      <c r="C1497"/>
      <c r="H1497"/>
      <c r="I1497"/>
      <c r="J1497"/>
      <c r="K1497"/>
      <c r="L1497"/>
      <c r="M1497"/>
      <c r="N1497"/>
      <c r="O1497"/>
      <c r="P1497"/>
    </row>
    <row r="1498" spans="1:16" x14ac:dyDescent="0.2">
      <c r="A1498"/>
      <c r="B1498"/>
      <c r="C1498"/>
      <c r="H1498"/>
      <c r="I1498"/>
      <c r="J1498"/>
      <c r="K1498"/>
      <c r="L1498"/>
      <c r="M1498"/>
      <c r="N1498"/>
      <c r="O1498"/>
      <c r="P1498"/>
    </row>
    <row r="1499" spans="1:16" x14ac:dyDescent="0.2">
      <c r="A1499"/>
      <c r="B1499"/>
      <c r="C1499"/>
      <c r="H1499"/>
      <c r="I1499"/>
      <c r="J1499"/>
      <c r="K1499"/>
      <c r="L1499"/>
      <c r="M1499"/>
      <c r="N1499"/>
      <c r="O1499"/>
      <c r="P1499"/>
    </row>
    <row r="1500" spans="1:16" x14ac:dyDescent="0.2">
      <c r="A1500"/>
      <c r="B1500"/>
      <c r="C1500"/>
      <c r="H1500"/>
      <c r="I1500"/>
      <c r="J1500"/>
      <c r="K1500"/>
      <c r="L1500"/>
      <c r="M1500"/>
      <c r="N1500"/>
      <c r="O1500"/>
      <c r="P1500"/>
    </row>
    <row r="1501" spans="1:16" x14ac:dyDescent="0.2">
      <c r="A1501"/>
      <c r="B1501"/>
      <c r="C1501"/>
      <c r="H1501"/>
      <c r="I1501"/>
      <c r="J1501"/>
      <c r="K1501"/>
      <c r="L1501"/>
      <c r="M1501"/>
      <c r="N1501"/>
      <c r="O1501"/>
      <c r="P1501"/>
    </row>
    <row r="1502" spans="1:16" x14ac:dyDescent="0.2">
      <c r="A1502"/>
      <c r="B1502"/>
      <c r="C1502"/>
      <c r="H1502"/>
      <c r="I1502"/>
      <c r="J1502"/>
      <c r="K1502"/>
      <c r="L1502"/>
      <c r="M1502"/>
      <c r="N1502"/>
      <c r="O1502"/>
      <c r="P1502"/>
    </row>
    <row r="1503" spans="1:16" x14ac:dyDescent="0.2">
      <c r="A1503"/>
      <c r="B1503"/>
      <c r="C1503"/>
      <c r="H1503"/>
      <c r="I1503"/>
      <c r="J1503"/>
      <c r="K1503"/>
      <c r="L1503"/>
      <c r="M1503"/>
      <c r="N1503"/>
      <c r="O1503"/>
      <c r="P1503"/>
    </row>
    <row r="1504" spans="1:16" x14ac:dyDescent="0.2">
      <c r="A1504"/>
      <c r="B1504"/>
      <c r="C1504"/>
      <c r="H1504"/>
      <c r="I1504"/>
      <c r="J1504"/>
      <c r="K1504"/>
      <c r="L1504"/>
      <c r="M1504"/>
      <c r="N1504"/>
      <c r="O1504"/>
      <c r="P1504"/>
    </row>
    <row r="1505" spans="1:16" x14ac:dyDescent="0.2">
      <c r="A1505"/>
      <c r="B1505"/>
      <c r="C1505"/>
      <c r="H1505"/>
      <c r="I1505"/>
      <c r="J1505"/>
      <c r="K1505"/>
      <c r="L1505"/>
      <c r="M1505"/>
      <c r="N1505"/>
      <c r="O1505"/>
      <c r="P1505"/>
    </row>
    <row r="1506" spans="1:16" x14ac:dyDescent="0.2">
      <c r="A1506"/>
      <c r="B1506"/>
      <c r="C1506"/>
      <c r="H1506"/>
      <c r="I1506"/>
      <c r="J1506"/>
      <c r="K1506"/>
      <c r="L1506"/>
      <c r="M1506"/>
      <c r="N1506"/>
      <c r="O1506"/>
      <c r="P1506"/>
    </row>
    <row r="1507" spans="1:16" x14ac:dyDescent="0.2">
      <c r="A1507"/>
      <c r="B1507"/>
      <c r="C1507"/>
      <c r="H1507"/>
      <c r="I1507"/>
      <c r="J1507"/>
      <c r="K1507"/>
      <c r="L1507"/>
      <c r="M1507"/>
      <c r="N1507"/>
      <c r="O1507"/>
      <c r="P1507"/>
    </row>
    <row r="1508" spans="1:16" x14ac:dyDescent="0.2">
      <c r="A1508"/>
      <c r="B1508"/>
      <c r="C1508"/>
      <c r="H1508"/>
      <c r="I1508"/>
      <c r="J1508"/>
      <c r="K1508"/>
      <c r="L1508"/>
      <c r="M1508"/>
      <c r="N1508"/>
      <c r="O1508"/>
      <c r="P1508"/>
    </row>
    <row r="1509" spans="1:16" x14ac:dyDescent="0.2">
      <c r="A1509"/>
      <c r="B1509"/>
      <c r="C1509"/>
      <c r="H1509"/>
      <c r="I1509"/>
      <c r="J1509"/>
      <c r="K1509"/>
      <c r="L1509"/>
      <c r="M1509"/>
      <c r="N1509"/>
      <c r="O1509"/>
      <c r="P1509"/>
    </row>
    <row r="1510" spans="1:16" x14ac:dyDescent="0.2">
      <c r="A1510"/>
      <c r="B1510"/>
      <c r="C1510"/>
      <c r="H1510"/>
      <c r="I1510"/>
      <c r="J1510"/>
      <c r="K1510"/>
      <c r="L1510"/>
      <c r="M1510"/>
      <c r="N1510"/>
      <c r="O1510"/>
      <c r="P1510"/>
    </row>
    <row r="1511" spans="1:16" x14ac:dyDescent="0.2">
      <c r="A1511"/>
      <c r="B1511"/>
      <c r="C1511"/>
      <c r="H1511"/>
      <c r="I1511"/>
      <c r="J1511"/>
      <c r="K1511"/>
      <c r="L1511"/>
      <c r="M1511"/>
      <c r="N1511"/>
      <c r="O1511"/>
      <c r="P1511"/>
    </row>
    <row r="1512" spans="1:16" x14ac:dyDescent="0.2">
      <c r="A1512"/>
      <c r="B1512"/>
      <c r="C1512"/>
      <c r="H1512"/>
      <c r="I1512"/>
      <c r="J1512"/>
      <c r="K1512"/>
      <c r="L1512"/>
      <c r="M1512"/>
      <c r="N1512"/>
      <c r="O1512"/>
      <c r="P1512"/>
    </row>
    <row r="1513" spans="1:16" x14ac:dyDescent="0.2">
      <c r="A1513"/>
      <c r="B1513"/>
      <c r="C1513"/>
      <c r="H1513"/>
      <c r="I1513"/>
      <c r="J1513"/>
      <c r="K1513"/>
      <c r="L1513"/>
      <c r="M1513"/>
      <c r="N1513"/>
      <c r="O1513"/>
      <c r="P1513"/>
    </row>
    <row r="1514" spans="1:16" x14ac:dyDescent="0.2">
      <c r="A1514"/>
      <c r="B1514"/>
      <c r="C1514"/>
      <c r="H1514"/>
      <c r="I1514"/>
      <c r="J1514"/>
      <c r="K1514"/>
      <c r="L1514"/>
      <c r="M1514"/>
      <c r="N1514"/>
      <c r="O1514"/>
      <c r="P1514"/>
    </row>
    <row r="1515" spans="1:16" x14ac:dyDescent="0.2">
      <c r="A1515"/>
      <c r="B1515"/>
      <c r="C1515"/>
      <c r="H1515"/>
      <c r="I1515"/>
      <c r="J1515"/>
      <c r="K1515"/>
      <c r="L1515"/>
      <c r="M1515"/>
      <c r="N1515"/>
      <c r="O1515"/>
      <c r="P1515"/>
    </row>
    <row r="1516" spans="1:16" x14ac:dyDescent="0.2">
      <c r="A1516"/>
      <c r="B1516"/>
      <c r="C1516"/>
      <c r="H1516"/>
      <c r="I1516"/>
      <c r="J1516"/>
      <c r="K1516"/>
      <c r="L1516"/>
      <c r="M1516"/>
      <c r="N1516"/>
      <c r="O1516"/>
      <c r="P1516"/>
    </row>
    <row r="1517" spans="1:16" x14ac:dyDescent="0.2">
      <c r="A1517"/>
      <c r="B1517"/>
      <c r="C1517"/>
      <c r="H1517"/>
      <c r="I1517"/>
      <c r="J1517"/>
      <c r="K1517"/>
      <c r="L1517"/>
      <c r="M1517"/>
      <c r="N1517"/>
      <c r="O1517"/>
      <c r="P1517"/>
    </row>
    <row r="1518" spans="1:16" x14ac:dyDescent="0.2">
      <c r="A1518"/>
      <c r="B1518"/>
      <c r="C1518"/>
      <c r="H1518"/>
      <c r="I1518"/>
      <c r="J1518"/>
      <c r="K1518"/>
      <c r="L1518"/>
      <c r="M1518"/>
      <c r="N1518"/>
      <c r="O1518"/>
      <c r="P1518"/>
    </row>
    <row r="1519" spans="1:16" x14ac:dyDescent="0.2">
      <c r="A1519"/>
      <c r="B1519"/>
      <c r="C1519"/>
      <c r="H1519"/>
      <c r="I1519"/>
      <c r="J1519"/>
      <c r="K1519"/>
      <c r="L1519"/>
      <c r="M1519"/>
      <c r="N1519"/>
      <c r="O1519"/>
      <c r="P1519"/>
    </row>
    <row r="1520" spans="1:16" x14ac:dyDescent="0.2">
      <c r="A1520"/>
      <c r="B1520"/>
      <c r="C1520"/>
      <c r="H1520"/>
      <c r="I1520"/>
      <c r="J1520"/>
      <c r="K1520"/>
      <c r="L1520"/>
      <c r="M1520"/>
      <c r="N1520"/>
      <c r="O1520"/>
      <c r="P1520"/>
    </row>
    <row r="1521" spans="1:16" x14ac:dyDescent="0.2">
      <c r="A1521"/>
      <c r="B1521"/>
      <c r="C1521"/>
      <c r="H1521"/>
      <c r="I1521"/>
      <c r="J1521"/>
      <c r="K1521"/>
      <c r="L1521"/>
      <c r="M1521"/>
      <c r="N1521"/>
      <c r="O1521"/>
      <c r="P1521"/>
    </row>
    <row r="1522" spans="1:16" x14ac:dyDescent="0.2">
      <c r="A1522"/>
      <c r="B1522"/>
      <c r="C1522"/>
      <c r="H1522"/>
      <c r="I1522"/>
      <c r="J1522"/>
      <c r="K1522"/>
      <c r="L1522"/>
      <c r="M1522"/>
      <c r="N1522"/>
      <c r="O1522"/>
      <c r="P1522"/>
    </row>
    <row r="1523" spans="1:16" x14ac:dyDescent="0.2">
      <c r="A1523"/>
      <c r="B1523"/>
      <c r="C1523"/>
      <c r="H1523"/>
      <c r="I1523"/>
      <c r="J1523"/>
      <c r="K1523"/>
      <c r="L1523"/>
      <c r="M1523"/>
      <c r="N1523"/>
      <c r="O1523"/>
      <c r="P1523"/>
    </row>
    <row r="1524" spans="1:16" x14ac:dyDescent="0.2">
      <c r="A1524"/>
      <c r="B1524"/>
      <c r="C1524"/>
      <c r="H1524"/>
      <c r="I1524"/>
      <c r="J1524"/>
      <c r="K1524"/>
      <c r="L1524"/>
      <c r="M1524"/>
      <c r="N1524"/>
      <c r="O1524"/>
      <c r="P1524"/>
    </row>
    <row r="1525" spans="1:16" x14ac:dyDescent="0.2">
      <c r="A1525"/>
      <c r="B1525"/>
      <c r="C1525"/>
      <c r="H1525"/>
      <c r="I1525"/>
      <c r="J1525"/>
      <c r="K1525"/>
      <c r="L1525"/>
      <c r="M1525"/>
      <c r="N1525"/>
      <c r="O1525"/>
      <c r="P1525"/>
    </row>
    <row r="1526" spans="1:16" x14ac:dyDescent="0.2">
      <c r="A1526"/>
      <c r="B1526"/>
      <c r="C1526"/>
      <c r="H1526"/>
      <c r="I1526"/>
      <c r="J1526"/>
      <c r="K1526"/>
      <c r="L1526"/>
      <c r="M1526"/>
      <c r="N1526"/>
      <c r="O1526"/>
      <c r="P1526"/>
    </row>
    <row r="1527" spans="1:16" x14ac:dyDescent="0.2">
      <c r="A1527"/>
      <c r="B1527"/>
      <c r="C1527"/>
      <c r="H1527"/>
      <c r="I1527"/>
      <c r="J1527"/>
      <c r="K1527"/>
      <c r="L1527"/>
      <c r="M1527"/>
      <c r="N1527"/>
      <c r="O1527"/>
      <c r="P1527"/>
    </row>
    <row r="1528" spans="1:16" x14ac:dyDescent="0.2">
      <c r="A1528"/>
      <c r="B1528"/>
      <c r="C1528"/>
      <c r="H1528"/>
      <c r="I1528"/>
      <c r="J1528"/>
      <c r="K1528"/>
      <c r="L1528"/>
      <c r="M1528"/>
      <c r="N1528"/>
      <c r="O1528"/>
      <c r="P1528"/>
    </row>
    <row r="1529" spans="1:16" x14ac:dyDescent="0.2">
      <c r="A1529"/>
      <c r="B1529"/>
      <c r="C1529"/>
      <c r="H1529"/>
      <c r="I1529"/>
      <c r="J1529"/>
      <c r="K1529"/>
      <c r="L1529"/>
      <c r="M1529"/>
      <c r="N1529"/>
      <c r="O1529"/>
      <c r="P1529"/>
    </row>
    <row r="1530" spans="1:16" x14ac:dyDescent="0.2">
      <c r="A1530"/>
      <c r="B1530"/>
      <c r="C1530"/>
      <c r="H1530"/>
      <c r="I1530"/>
      <c r="J1530"/>
      <c r="K1530"/>
      <c r="L1530"/>
      <c r="M1530"/>
      <c r="N1530"/>
      <c r="O1530"/>
      <c r="P1530"/>
    </row>
    <row r="1531" spans="1:16" x14ac:dyDescent="0.2">
      <c r="A1531"/>
      <c r="B1531"/>
      <c r="C1531"/>
      <c r="H1531"/>
      <c r="I1531"/>
      <c r="J1531"/>
      <c r="K1531"/>
      <c r="L1531"/>
      <c r="M1531"/>
      <c r="N1531"/>
      <c r="O1531"/>
      <c r="P1531"/>
    </row>
    <row r="1532" spans="1:16" x14ac:dyDescent="0.2">
      <c r="A1532"/>
      <c r="B1532"/>
      <c r="C1532"/>
      <c r="H1532"/>
      <c r="I1532"/>
      <c r="J1532"/>
      <c r="K1532"/>
      <c r="L1532"/>
      <c r="M1532"/>
      <c r="N1532"/>
      <c r="O1532"/>
      <c r="P1532"/>
    </row>
    <row r="1533" spans="1:16" x14ac:dyDescent="0.2">
      <c r="A1533"/>
      <c r="B1533"/>
      <c r="C1533"/>
      <c r="H1533"/>
      <c r="I1533"/>
      <c r="J1533"/>
      <c r="K1533"/>
      <c r="L1533"/>
      <c r="M1533"/>
      <c r="N1533"/>
      <c r="O1533"/>
      <c r="P1533"/>
    </row>
    <row r="1534" spans="1:16" x14ac:dyDescent="0.2">
      <c r="A1534"/>
      <c r="B1534"/>
      <c r="C1534"/>
      <c r="H1534"/>
      <c r="I1534"/>
      <c r="J1534"/>
      <c r="K1534"/>
      <c r="L1534"/>
      <c r="M1534"/>
      <c r="N1534"/>
      <c r="O1534"/>
      <c r="P1534"/>
    </row>
    <row r="1535" spans="1:16" x14ac:dyDescent="0.2">
      <c r="A1535"/>
      <c r="B1535"/>
      <c r="C1535"/>
      <c r="H1535"/>
      <c r="I1535"/>
      <c r="J1535"/>
      <c r="K1535"/>
      <c r="L1535"/>
      <c r="M1535"/>
      <c r="N1535"/>
      <c r="O1535"/>
      <c r="P1535"/>
    </row>
    <row r="1536" spans="1:16" x14ac:dyDescent="0.2">
      <c r="A1536"/>
      <c r="B1536"/>
      <c r="C1536"/>
      <c r="H1536"/>
      <c r="I1536"/>
      <c r="J1536"/>
      <c r="K1536"/>
      <c r="L1536"/>
      <c r="M1536"/>
      <c r="N1536"/>
      <c r="O1536"/>
      <c r="P1536"/>
    </row>
    <row r="1537" spans="1:16" x14ac:dyDescent="0.2">
      <c r="A1537"/>
      <c r="B1537"/>
      <c r="C1537"/>
      <c r="H1537"/>
      <c r="I1537"/>
      <c r="J1537"/>
      <c r="K1537"/>
      <c r="L1537"/>
      <c r="M1537"/>
      <c r="N1537"/>
      <c r="O1537"/>
      <c r="P1537"/>
    </row>
    <row r="1538" spans="1:16" x14ac:dyDescent="0.2">
      <c r="A1538"/>
      <c r="B1538"/>
      <c r="C1538"/>
      <c r="H1538"/>
      <c r="I1538"/>
      <c r="J1538"/>
      <c r="K1538"/>
      <c r="L1538"/>
      <c r="M1538"/>
      <c r="N1538"/>
      <c r="O1538"/>
      <c r="P1538"/>
    </row>
    <row r="1539" spans="1:16" x14ac:dyDescent="0.2">
      <c r="A1539"/>
      <c r="B1539"/>
      <c r="C1539"/>
      <c r="H1539"/>
      <c r="I1539"/>
      <c r="J1539"/>
      <c r="K1539"/>
      <c r="L1539"/>
      <c r="M1539"/>
      <c r="N1539"/>
      <c r="O1539"/>
      <c r="P1539"/>
    </row>
    <row r="1540" spans="1:16" x14ac:dyDescent="0.2">
      <c r="A1540"/>
      <c r="B1540"/>
      <c r="C1540"/>
      <c r="H1540"/>
      <c r="I1540"/>
      <c r="J1540"/>
      <c r="K1540"/>
      <c r="L1540"/>
      <c r="M1540"/>
      <c r="N1540"/>
      <c r="O1540"/>
      <c r="P1540"/>
    </row>
    <row r="1541" spans="1:16" x14ac:dyDescent="0.2">
      <c r="A1541"/>
      <c r="B1541"/>
      <c r="C1541"/>
      <c r="H1541"/>
      <c r="I1541"/>
      <c r="J1541"/>
      <c r="K1541"/>
      <c r="L1541"/>
      <c r="M1541"/>
      <c r="N1541"/>
      <c r="O1541"/>
      <c r="P1541"/>
    </row>
    <row r="1542" spans="1:16" x14ac:dyDescent="0.2">
      <c r="A1542"/>
      <c r="B1542"/>
      <c r="C1542"/>
      <c r="H1542"/>
      <c r="I1542"/>
      <c r="J1542"/>
      <c r="K1542"/>
      <c r="L1542"/>
      <c r="M1542"/>
      <c r="N1542"/>
      <c r="O1542"/>
      <c r="P1542"/>
    </row>
    <row r="1543" spans="1:16" x14ac:dyDescent="0.2">
      <c r="A1543"/>
      <c r="B1543"/>
      <c r="C1543"/>
      <c r="H1543"/>
      <c r="I1543"/>
      <c r="J1543"/>
      <c r="K1543"/>
      <c r="L1543"/>
      <c r="M1543"/>
      <c r="N1543"/>
      <c r="O1543"/>
      <c r="P1543"/>
    </row>
    <row r="1544" spans="1:16" x14ac:dyDescent="0.2">
      <c r="A1544"/>
      <c r="B1544"/>
      <c r="C1544"/>
      <c r="H1544"/>
      <c r="I1544"/>
      <c r="J1544"/>
      <c r="K1544"/>
      <c r="L1544"/>
      <c r="M1544"/>
      <c r="N1544"/>
      <c r="O1544"/>
      <c r="P1544"/>
    </row>
    <row r="1545" spans="1:16" x14ac:dyDescent="0.2">
      <c r="A1545"/>
      <c r="B1545"/>
      <c r="C1545"/>
      <c r="H1545"/>
      <c r="I1545"/>
      <c r="J1545"/>
      <c r="K1545"/>
      <c r="L1545"/>
      <c r="M1545"/>
      <c r="N1545"/>
      <c r="O1545"/>
      <c r="P1545"/>
    </row>
    <row r="1546" spans="1:16" x14ac:dyDescent="0.2">
      <c r="A1546"/>
      <c r="B1546"/>
      <c r="C1546"/>
      <c r="H1546"/>
      <c r="I1546"/>
      <c r="J1546"/>
      <c r="K1546"/>
      <c r="L1546"/>
      <c r="M1546"/>
      <c r="N1546"/>
      <c r="O1546"/>
      <c r="P1546"/>
    </row>
    <row r="1547" spans="1:16" x14ac:dyDescent="0.2">
      <c r="A1547"/>
      <c r="B1547"/>
      <c r="C1547"/>
      <c r="H1547"/>
      <c r="I1547"/>
      <c r="J1547"/>
      <c r="K1547"/>
      <c r="L1547"/>
      <c r="M1547"/>
      <c r="N1547"/>
      <c r="O1547"/>
      <c r="P1547"/>
    </row>
    <row r="1548" spans="1:16" x14ac:dyDescent="0.2">
      <c r="A1548"/>
      <c r="B1548"/>
      <c r="C1548"/>
      <c r="H1548"/>
      <c r="I1548"/>
      <c r="J1548"/>
      <c r="K1548"/>
      <c r="L1548"/>
      <c r="M1548"/>
      <c r="N1548"/>
      <c r="O1548"/>
      <c r="P1548"/>
    </row>
    <row r="1549" spans="1:16" x14ac:dyDescent="0.2">
      <c r="A1549"/>
      <c r="B1549"/>
      <c r="C1549"/>
      <c r="H1549"/>
      <c r="I1549"/>
      <c r="J1549"/>
      <c r="K1549"/>
      <c r="L1549"/>
      <c r="M1549"/>
      <c r="N1549"/>
      <c r="O1549"/>
      <c r="P1549"/>
    </row>
    <row r="1550" spans="1:16" x14ac:dyDescent="0.2">
      <c r="A1550"/>
      <c r="B1550"/>
      <c r="C1550"/>
      <c r="H1550"/>
      <c r="I1550"/>
      <c r="J1550"/>
      <c r="K1550"/>
      <c r="L1550"/>
      <c r="M1550"/>
      <c r="N1550"/>
      <c r="O1550"/>
      <c r="P1550"/>
    </row>
    <row r="1551" spans="1:16" x14ac:dyDescent="0.2">
      <c r="A1551"/>
      <c r="B1551"/>
      <c r="C1551"/>
      <c r="H1551"/>
      <c r="I1551"/>
      <c r="J1551"/>
      <c r="K1551"/>
      <c r="L1551"/>
      <c r="M1551"/>
      <c r="N1551"/>
      <c r="O1551"/>
      <c r="P1551"/>
    </row>
    <row r="1552" spans="1:16" x14ac:dyDescent="0.2">
      <c r="A1552"/>
      <c r="B1552"/>
      <c r="C1552"/>
      <c r="H1552"/>
      <c r="I1552"/>
      <c r="J1552"/>
      <c r="K1552"/>
      <c r="L1552"/>
      <c r="M1552"/>
      <c r="N1552"/>
      <c r="O1552"/>
      <c r="P1552"/>
    </row>
    <row r="1553" spans="1:16" x14ac:dyDescent="0.2">
      <c r="A1553"/>
      <c r="B1553"/>
      <c r="C1553"/>
      <c r="H1553"/>
      <c r="I1553"/>
      <c r="J1553"/>
      <c r="K1553"/>
      <c r="L1553"/>
      <c r="M1553"/>
      <c r="N1553"/>
      <c r="O1553"/>
      <c r="P1553"/>
    </row>
    <row r="1554" spans="1:16" x14ac:dyDescent="0.2">
      <c r="A1554"/>
      <c r="B1554"/>
      <c r="C1554"/>
      <c r="H1554"/>
      <c r="I1554"/>
      <c r="J1554"/>
      <c r="K1554"/>
      <c r="L1554"/>
      <c r="M1554"/>
      <c r="N1554"/>
      <c r="O1554"/>
      <c r="P1554"/>
    </row>
    <row r="1555" spans="1:16" x14ac:dyDescent="0.2">
      <c r="A1555"/>
      <c r="B1555"/>
      <c r="C1555"/>
      <c r="H1555"/>
      <c r="I1555"/>
      <c r="J1555"/>
      <c r="K1555"/>
      <c r="L1555"/>
      <c r="M1555"/>
      <c r="N1555"/>
      <c r="O1555"/>
      <c r="P1555"/>
    </row>
    <row r="1556" spans="1:16" x14ac:dyDescent="0.2">
      <c r="A1556"/>
      <c r="B1556"/>
      <c r="C1556"/>
      <c r="H1556"/>
      <c r="I1556"/>
      <c r="J1556"/>
      <c r="K1556"/>
      <c r="L1556"/>
      <c r="M1556"/>
      <c r="N1556"/>
      <c r="O1556"/>
      <c r="P1556"/>
    </row>
    <row r="1557" spans="1:16" x14ac:dyDescent="0.2">
      <c r="A1557"/>
      <c r="B1557"/>
      <c r="C1557"/>
      <c r="H1557"/>
      <c r="I1557"/>
      <c r="J1557"/>
      <c r="K1557"/>
      <c r="L1557"/>
      <c r="M1557"/>
      <c r="N1557"/>
      <c r="O1557"/>
      <c r="P1557"/>
    </row>
    <row r="1558" spans="1:16" x14ac:dyDescent="0.2">
      <c r="A1558"/>
      <c r="B1558"/>
      <c r="C1558"/>
      <c r="H1558"/>
      <c r="I1558"/>
      <c r="J1558"/>
      <c r="K1558"/>
      <c r="L1558"/>
      <c r="M1558"/>
      <c r="N1558"/>
      <c r="O1558"/>
      <c r="P1558"/>
    </row>
    <row r="1559" spans="1:16" x14ac:dyDescent="0.2">
      <c r="A1559"/>
      <c r="B1559"/>
      <c r="C1559"/>
      <c r="H1559"/>
      <c r="I1559"/>
      <c r="J1559"/>
      <c r="K1559"/>
      <c r="L1559"/>
      <c r="M1559"/>
      <c r="N1559"/>
      <c r="O1559"/>
      <c r="P1559"/>
    </row>
    <row r="1560" spans="1:16" x14ac:dyDescent="0.2">
      <c r="A1560"/>
      <c r="B1560"/>
      <c r="C1560"/>
      <c r="H1560"/>
      <c r="I1560"/>
      <c r="J1560"/>
      <c r="K1560"/>
      <c r="L1560"/>
      <c r="M1560"/>
      <c r="N1560"/>
      <c r="O1560"/>
      <c r="P1560"/>
    </row>
    <row r="1561" spans="1:16" x14ac:dyDescent="0.2">
      <c r="A1561"/>
      <c r="B1561"/>
      <c r="C1561"/>
      <c r="H1561"/>
      <c r="I1561"/>
      <c r="J1561"/>
      <c r="K1561"/>
      <c r="L1561"/>
      <c r="M1561"/>
      <c r="N1561"/>
      <c r="O1561"/>
      <c r="P1561"/>
    </row>
    <row r="1562" spans="1:16" x14ac:dyDescent="0.2">
      <c r="A1562"/>
      <c r="B1562"/>
      <c r="C1562"/>
      <c r="H1562"/>
      <c r="I1562"/>
      <c r="J1562"/>
      <c r="K1562"/>
      <c r="L1562"/>
      <c r="M1562"/>
      <c r="N1562"/>
      <c r="O1562"/>
      <c r="P1562"/>
    </row>
    <row r="1563" spans="1:16" x14ac:dyDescent="0.2">
      <c r="A1563"/>
      <c r="B1563"/>
      <c r="C1563"/>
      <c r="H1563"/>
      <c r="I1563"/>
      <c r="J1563"/>
      <c r="K1563"/>
      <c r="L1563"/>
      <c r="M1563"/>
      <c r="N1563"/>
      <c r="O1563"/>
      <c r="P1563"/>
    </row>
    <row r="1564" spans="1:16" x14ac:dyDescent="0.2">
      <c r="A1564"/>
      <c r="B1564"/>
      <c r="C1564"/>
      <c r="H1564"/>
      <c r="I1564"/>
      <c r="J1564"/>
      <c r="K1564"/>
      <c r="L1564"/>
      <c r="M1564"/>
      <c r="N1564"/>
      <c r="O1564"/>
      <c r="P1564"/>
    </row>
    <row r="1565" spans="1:16" x14ac:dyDescent="0.2">
      <c r="A1565"/>
      <c r="B1565"/>
      <c r="C1565"/>
      <c r="H1565"/>
      <c r="I1565"/>
      <c r="J1565"/>
      <c r="K1565"/>
      <c r="L1565"/>
      <c r="M1565"/>
      <c r="N1565"/>
      <c r="O1565"/>
      <c r="P1565"/>
    </row>
    <row r="1566" spans="1:16" x14ac:dyDescent="0.2">
      <c r="A1566"/>
      <c r="B1566"/>
      <c r="C1566"/>
      <c r="H1566"/>
      <c r="I1566"/>
      <c r="J1566"/>
      <c r="K1566"/>
      <c r="L1566"/>
      <c r="M1566"/>
      <c r="N1566"/>
      <c r="O1566"/>
      <c r="P1566"/>
    </row>
    <row r="1567" spans="1:16" x14ac:dyDescent="0.2">
      <c r="A1567"/>
      <c r="B1567"/>
      <c r="C1567"/>
      <c r="H1567"/>
      <c r="I1567"/>
      <c r="J1567"/>
      <c r="K1567"/>
      <c r="L1567"/>
      <c r="M1567"/>
      <c r="N1567"/>
      <c r="O1567"/>
      <c r="P1567"/>
    </row>
    <row r="1568" spans="1:16" x14ac:dyDescent="0.2">
      <c r="A1568"/>
      <c r="B1568"/>
      <c r="C1568"/>
      <c r="H1568"/>
      <c r="I1568"/>
      <c r="J1568"/>
      <c r="K1568"/>
      <c r="L1568"/>
      <c r="M1568"/>
      <c r="N1568"/>
      <c r="O1568"/>
      <c r="P1568"/>
    </row>
    <row r="1569" spans="1:16" x14ac:dyDescent="0.2">
      <c r="A1569"/>
      <c r="B1569"/>
      <c r="C1569"/>
      <c r="H1569"/>
      <c r="I1569"/>
      <c r="J1569"/>
      <c r="K1569"/>
      <c r="L1569"/>
      <c r="M1569"/>
      <c r="N1569"/>
      <c r="O1569"/>
      <c r="P1569"/>
    </row>
    <row r="1570" spans="1:16" x14ac:dyDescent="0.2">
      <c r="A1570"/>
      <c r="B1570"/>
      <c r="C1570"/>
      <c r="H1570"/>
      <c r="I1570"/>
      <c r="J1570"/>
      <c r="K1570"/>
      <c r="L1570"/>
      <c r="M1570"/>
      <c r="N1570"/>
      <c r="O1570"/>
      <c r="P1570"/>
    </row>
    <row r="1571" spans="1:16" x14ac:dyDescent="0.2">
      <c r="A1571"/>
      <c r="B1571"/>
      <c r="C1571"/>
      <c r="H1571"/>
      <c r="I1571"/>
      <c r="J1571"/>
      <c r="K1571"/>
      <c r="L1571"/>
      <c r="M1571"/>
      <c r="N1571"/>
      <c r="O1571"/>
      <c r="P1571"/>
    </row>
    <row r="1572" spans="1:16" x14ac:dyDescent="0.2">
      <c r="A1572"/>
      <c r="B1572"/>
      <c r="C1572"/>
      <c r="H1572"/>
      <c r="I1572"/>
      <c r="J1572"/>
      <c r="K1572"/>
      <c r="L1572"/>
      <c r="M1572"/>
      <c r="N1572"/>
      <c r="O1572"/>
      <c r="P1572"/>
    </row>
    <row r="1573" spans="1:16" x14ac:dyDescent="0.2">
      <c r="A1573"/>
      <c r="B1573"/>
      <c r="C1573"/>
      <c r="H1573"/>
      <c r="I1573"/>
      <c r="J1573"/>
      <c r="K1573"/>
      <c r="L1573"/>
      <c r="M1573"/>
      <c r="N1573"/>
      <c r="O1573"/>
      <c r="P1573"/>
    </row>
    <row r="1574" spans="1:16" x14ac:dyDescent="0.2">
      <c r="A1574"/>
      <c r="B1574"/>
      <c r="C1574"/>
      <c r="H1574"/>
      <c r="I1574"/>
      <c r="J1574"/>
      <c r="K1574"/>
      <c r="L1574"/>
      <c r="M1574"/>
      <c r="N1574"/>
      <c r="O1574"/>
      <c r="P1574"/>
    </row>
    <row r="1575" spans="1:16" x14ac:dyDescent="0.2">
      <c r="A1575"/>
      <c r="B1575"/>
      <c r="C1575"/>
      <c r="H1575"/>
      <c r="I1575"/>
      <c r="J1575"/>
      <c r="K1575"/>
      <c r="L1575"/>
      <c r="M1575"/>
      <c r="N1575"/>
      <c r="O1575"/>
      <c r="P1575"/>
    </row>
    <row r="1576" spans="1:16" x14ac:dyDescent="0.2">
      <c r="A1576"/>
      <c r="B1576"/>
      <c r="C1576"/>
      <c r="H1576"/>
      <c r="I1576"/>
      <c r="J1576"/>
      <c r="K1576"/>
      <c r="L1576"/>
      <c r="M1576"/>
      <c r="N1576"/>
      <c r="O1576"/>
      <c r="P1576"/>
    </row>
    <row r="1577" spans="1:16" x14ac:dyDescent="0.2">
      <c r="A1577"/>
      <c r="B1577"/>
      <c r="C1577"/>
      <c r="H1577"/>
      <c r="I1577"/>
      <c r="J1577"/>
      <c r="K1577"/>
      <c r="L1577"/>
      <c r="M1577"/>
      <c r="N1577"/>
      <c r="O1577"/>
      <c r="P1577"/>
    </row>
    <row r="1578" spans="1:16" x14ac:dyDescent="0.2">
      <c r="A1578"/>
      <c r="B1578"/>
      <c r="C1578"/>
      <c r="H1578"/>
      <c r="I1578"/>
      <c r="J1578"/>
      <c r="K1578"/>
      <c r="L1578"/>
      <c r="M1578"/>
      <c r="N1578"/>
      <c r="O1578"/>
      <c r="P1578"/>
    </row>
    <row r="1579" spans="1:16" x14ac:dyDescent="0.2">
      <c r="A1579"/>
      <c r="B1579"/>
      <c r="C1579"/>
      <c r="H1579"/>
      <c r="I1579"/>
      <c r="J1579"/>
      <c r="K1579"/>
      <c r="L1579"/>
      <c r="M1579"/>
      <c r="N1579"/>
      <c r="O1579"/>
      <c r="P1579"/>
    </row>
    <row r="1580" spans="1:16" x14ac:dyDescent="0.2">
      <c r="A1580"/>
      <c r="B1580"/>
      <c r="C1580"/>
      <c r="H1580"/>
      <c r="I1580"/>
      <c r="J1580"/>
      <c r="K1580"/>
      <c r="L1580"/>
      <c r="M1580"/>
      <c r="N1580"/>
      <c r="O1580"/>
      <c r="P1580"/>
    </row>
    <row r="1581" spans="1:16" x14ac:dyDescent="0.2">
      <c r="A1581"/>
      <c r="B1581"/>
      <c r="C1581"/>
      <c r="H1581"/>
      <c r="I1581"/>
      <c r="J1581"/>
      <c r="K1581"/>
      <c r="L1581"/>
      <c r="M1581"/>
      <c r="N1581"/>
      <c r="O1581"/>
      <c r="P1581"/>
    </row>
    <row r="1582" spans="1:16" x14ac:dyDescent="0.2">
      <c r="A1582"/>
      <c r="B1582"/>
      <c r="C1582"/>
      <c r="H1582"/>
      <c r="I1582"/>
      <c r="J1582"/>
      <c r="K1582"/>
      <c r="L1582"/>
      <c r="M1582"/>
      <c r="N1582"/>
      <c r="O1582"/>
      <c r="P1582"/>
    </row>
    <row r="1583" spans="1:16" x14ac:dyDescent="0.2">
      <c r="A1583"/>
      <c r="B1583"/>
      <c r="C1583"/>
      <c r="H1583"/>
      <c r="I1583"/>
      <c r="J1583"/>
      <c r="K1583"/>
      <c r="L1583"/>
      <c r="M1583"/>
      <c r="N1583"/>
      <c r="O1583"/>
      <c r="P1583"/>
    </row>
    <row r="1584" spans="1:16" x14ac:dyDescent="0.2">
      <c r="A1584"/>
      <c r="B1584"/>
      <c r="C1584"/>
      <c r="H1584"/>
      <c r="I1584"/>
      <c r="J1584"/>
      <c r="K1584"/>
      <c r="L1584"/>
      <c r="M1584"/>
      <c r="N1584"/>
      <c r="O1584"/>
      <c r="P1584"/>
    </row>
    <row r="1585" spans="1:16" x14ac:dyDescent="0.2">
      <c r="A1585"/>
      <c r="B1585"/>
      <c r="C1585"/>
      <c r="H1585"/>
      <c r="I1585"/>
      <c r="J1585"/>
      <c r="K1585"/>
      <c r="L1585"/>
      <c r="M1585"/>
      <c r="N1585"/>
      <c r="O1585"/>
      <c r="P1585"/>
    </row>
    <row r="1586" spans="1:16" x14ac:dyDescent="0.2">
      <c r="A1586"/>
      <c r="B1586"/>
      <c r="C1586"/>
      <c r="H1586"/>
      <c r="I1586"/>
      <c r="J1586"/>
      <c r="K1586"/>
      <c r="L1586"/>
      <c r="M1586"/>
      <c r="N1586"/>
      <c r="O1586"/>
      <c r="P1586"/>
    </row>
    <row r="1587" spans="1:16" x14ac:dyDescent="0.2">
      <c r="A1587"/>
      <c r="B1587"/>
      <c r="C1587"/>
      <c r="H1587"/>
      <c r="I1587"/>
      <c r="J1587"/>
      <c r="K1587"/>
      <c r="L1587"/>
      <c r="M1587"/>
      <c r="N1587"/>
      <c r="O1587"/>
      <c r="P1587"/>
    </row>
    <row r="1588" spans="1:16" x14ac:dyDescent="0.2">
      <c r="A1588"/>
      <c r="B1588"/>
      <c r="C1588"/>
      <c r="H1588"/>
      <c r="I1588"/>
      <c r="J1588"/>
      <c r="K1588"/>
      <c r="L1588"/>
      <c r="M1588"/>
      <c r="N1588"/>
      <c r="O1588"/>
      <c r="P1588"/>
    </row>
    <row r="1589" spans="1:16" x14ac:dyDescent="0.2">
      <c r="A1589"/>
      <c r="B1589"/>
      <c r="C1589"/>
      <c r="H1589"/>
      <c r="I1589"/>
      <c r="J1589"/>
      <c r="K1589"/>
      <c r="L1589"/>
      <c r="M1589"/>
      <c r="N1589"/>
      <c r="O1589"/>
      <c r="P1589"/>
    </row>
    <row r="1590" spans="1:16" x14ac:dyDescent="0.2">
      <c r="A1590"/>
      <c r="B1590"/>
      <c r="C1590"/>
      <c r="H1590"/>
      <c r="I1590"/>
      <c r="J1590"/>
      <c r="K1590"/>
      <c r="L1590"/>
      <c r="M1590"/>
      <c r="N1590"/>
      <c r="O1590"/>
      <c r="P1590"/>
    </row>
    <row r="1591" spans="1:16" x14ac:dyDescent="0.2">
      <c r="A1591"/>
      <c r="B1591"/>
      <c r="C1591"/>
      <c r="H1591"/>
      <c r="I1591"/>
      <c r="J1591"/>
      <c r="K1591"/>
      <c r="L1591"/>
      <c r="M1591"/>
      <c r="N1591"/>
      <c r="O1591"/>
      <c r="P1591"/>
    </row>
    <row r="1592" spans="1:16" x14ac:dyDescent="0.2">
      <c r="A1592"/>
      <c r="B1592"/>
      <c r="C1592"/>
      <c r="H1592"/>
      <c r="I1592"/>
      <c r="J1592"/>
      <c r="K1592"/>
      <c r="L1592"/>
      <c r="M1592"/>
      <c r="N1592"/>
      <c r="O1592"/>
      <c r="P1592"/>
    </row>
    <row r="1593" spans="1:16" x14ac:dyDescent="0.2">
      <c r="A1593"/>
      <c r="B1593"/>
      <c r="C1593"/>
      <c r="H1593"/>
      <c r="I1593"/>
      <c r="J1593"/>
      <c r="K1593"/>
      <c r="L1593"/>
      <c r="M1593"/>
      <c r="N1593"/>
      <c r="O1593"/>
      <c r="P1593"/>
    </row>
    <row r="1594" spans="1:16" x14ac:dyDescent="0.2">
      <c r="A1594"/>
      <c r="B1594"/>
      <c r="C1594"/>
      <c r="H1594"/>
      <c r="I1594"/>
      <c r="J1594"/>
      <c r="K1594"/>
      <c r="L1594"/>
      <c r="M1594"/>
      <c r="N1594"/>
      <c r="O1594"/>
      <c r="P1594"/>
    </row>
    <row r="1595" spans="1:16" x14ac:dyDescent="0.2">
      <c r="A1595"/>
      <c r="B1595"/>
      <c r="C1595"/>
      <c r="H1595"/>
      <c r="I1595"/>
      <c r="J1595"/>
      <c r="K1595"/>
      <c r="L1595"/>
      <c r="M1595"/>
      <c r="N1595"/>
      <c r="O1595"/>
      <c r="P1595"/>
    </row>
    <row r="1596" spans="1:16" x14ac:dyDescent="0.2">
      <c r="A1596"/>
      <c r="B1596"/>
      <c r="C1596"/>
      <c r="H1596"/>
      <c r="I1596"/>
      <c r="J1596"/>
      <c r="K1596"/>
      <c r="L1596"/>
      <c r="M1596"/>
      <c r="N1596"/>
      <c r="O1596"/>
      <c r="P1596"/>
    </row>
    <row r="1597" spans="1:16" x14ac:dyDescent="0.2">
      <c r="A1597"/>
      <c r="B1597"/>
      <c r="C1597"/>
      <c r="H1597"/>
      <c r="I1597"/>
      <c r="J1597"/>
      <c r="K1597"/>
      <c r="L1597"/>
      <c r="M1597"/>
      <c r="N1597"/>
      <c r="O1597"/>
      <c r="P1597"/>
    </row>
    <row r="1598" spans="1:16" x14ac:dyDescent="0.2">
      <c r="A1598"/>
      <c r="B1598"/>
      <c r="C1598"/>
      <c r="H1598"/>
      <c r="I1598"/>
      <c r="J1598"/>
      <c r="K1598"/>
      <c r="L1598"/>
      <c r="M1598"/>
      <c r="N1598"/>
      <c r="O1598"/>
      <c r="P1598"/>
    </row>
    <row r="1599" spans="1:16" x14ac:dyDescent="0.2">
      <c r="A1599"/>
      <c r="B1599"/>
      <c r="C1599"/>
      <c r="H1599"/>
      <c r="I1599"/>
      <c r="J1599"/>
      <c r="K1599"/>
      <c r="L1599"/>
      <c r="M1599"/>
      <c r="N1599"/>
      <c r="O1599"/>
      <c r="P1599"/>
    </row>
    <row r="1600" spans="1:16" x14ac:dyDescent="0.2">
      <c r="A1600"/>
      <c r="B1600"/>
      <c r="C1600"/>
      <c r="H1600"/>
      <c r="I1600"/>
      <c r="J1600"/>
      <c r="K1600"/>
      <c r="L1600"/>
      <c r="M1600"/>
      <c r="N1600"/>
      <c r="O1600"/>
      <c r="P1600"/>
    </row>
    <row r="1601" spans="1:16" x14ac:dyDescent="0.2">
      <c r="A1601"/>
      <c r="B1601"/>
      <c r="C1601"/>
      <c r="H1601"/>
      <c r="I1601"/>
      <c r="J1601"/>
      <c r="K1601"/>
      <c r="L1601"/>
      <c r="M1601"/>
      <c r="N1601"/>
      <c r="O1601"/>
      <c r="P1601"/>
    </row>
    <row r="1602" spans="1:16" x14ac:dyDescent="0.2">
      <c r="A1602"/>
      <c r="B1602"/>
      <c r="C1602"/>
      <c r="H1602"/>
      <c r="I1602"/>
      <c r="J1602"/>
      <c r="K1602"/>
      <c r="L1602"/>
      <c r="M1602"/>
      <c r="N1602"/>
      <c r="O1602"/>
      <c r="P1602"/>
    </row>
    <row r="1603" spans="1:16" x14ac:dyDescent="0.2">
      <c r="A1603"/>
      <c r="B1603"/>
      <c r="C1603"/>
      <c r="H1603"/>
      <c r="I1603"/>
      <c r="J1603"/>
      <c r="K1603"/>
      <c r="L1603"/>
      <c r="M1603"/>
      <c r="N1603"/>
      <c r="O1603"/>
      <c r="P1603"/>
    </row>
    <row r="1604" spans="1:16" x14ac:dyDescent="0.2">
      <c r="A1604"/>
      <c r="B1604"/>
      <c r="C1604"/>
      <c r="H1604"/>
      <c r="I1604"/>
      <c r="J1604"/>
      <c r="K1604"/>
      <c r="L1604"/>
      <c r="M1604"/>
      <c r="N1604"/>
      <c r="O1604"/>
      <c r="P1604"/>
    </row>
    <row r="1605" spans="1:16" x14ac:dyDescent="0.2">
      <c r="A1605"/>
      <c r="B1605"/>
      <c r="C1605"/>
      <c r="H1605"/>
      <c r="I1605"/>
      <c r="J1605"/>
      <c r="K1605"/>
      <c r="L1605"/>
      <c r="M1605"/>
      <c r="N1605"/>
      <c r="O1605"/>
      <c r="P1605"/>
    </row>
    <row r="1606" spans="1:16" x14ac:dyDescent="0.2">
      <c r="A1606"/>
      <c r="B1606"/>
      <c r="C1606"/>
      <c r="H1606"/>
      <c r="I1606"/>
      <c r="J1606"/>
      <c r="K1606"/>
      <c r="L1606"/>
      <c r="M1606"/>
      <c r="N1606"/>
      <c r="O1606"/>
      <c r="P1606"/>
    </row>
    <row r="1607" spans="1:16" x14ac:dyDescent="0.2">
      <c r="A1607"/>
      <c r="B1607"/>
      <c r="C1607"/>
      <c r="H1607"/>
      <c r="I1607"/>
      <c r="J1607"/>
      <c r="K1607"/>
      <c r="L1607"/>
      <c r="M1607"/>
      <c r="N1607"/>
      <c r="O1607"/>
      <c r="P1607"/>
    </row>
    <row r="1608" spans="1:16" x14ac:dyDescent="0.2">
      <c r="A1608"/>
      <c r="B1608"/>
      <c r="C1608"/>
      <c r="H1608"/>
      <c r="I1608"/>
      <c r="J1608"/>
      <c r="K1608"/>
      <c r="L1608"/>
      <c r="M1608"/>
      <c r="N1608"/>
      <c r="O1608"/>
      <c r="P1608"/>
    </row>
    <row r="1609" spans="1:16" x14ac:dyDescent="0.2">
      <c r="A1609"/>
      <c r="B1609"/>
      <c r="C1609"/>
      <c r="H1609"/>
      <c r="I1609"/>
      <c r="J1609"/>
      <c r="K1609"/>
      <c r="L1609"/>
      <c r="M1609"/>
      <c r="N1609"/>
      <c r="O1609"/>
      <c r="P1609"/>
    </row>
    <row r="1610" spans="1:16" x14ac:dyDescent="0.2">
      <c r="A1610"/>
      <c r="B1610"/>
      <c r="C1610"/>
      <c r="H1610"/>
      <c r="I1610"/>
      <c r="J1610"/>
      <c r="K1610"/>
      <c r="L1610"/>
      <c r="M1610"/>
      <c r="N1610"/>
      <c r="O1610"/>
      <c r="P1610"/>
    </row>
    <row r="1611" spans="1:16" x14ac:dyDescent="0.2">
      <c r="A1611"/>
      <c r="B1611"/>
      <c r="C1611"/>
      <c r="H1611"/>
      <c r="I1611"/>
      <c r="J1611"/>
      <c r="K1611"/>
      <c r="L1611"/>
      <c r="M1611"/>
      <c r="N1611"/>
      <c r="O1611"/>
      <c r="P1611"/>
    </row>
    <row r="1612" spans="1:16" x14ac:dyDescent="0.2">
      <c r="A1612"/>
      <c r="B1612"/>
      <c r="C1612"/>
      <c r="H1612"/>
      <c r="I1612"/>
      <c r="J1612"/>
      <c r="K1612"/>
      <c r="L1612"/>
      <c r="M1612"/>
      <c r="N1612"/>
      <c r="O1612"/>
      <c r="P1612"/>
    </row>
    <row r="1613" spans="1:16" x14ac:dyDescent="0.2">
      <c r="A1613"/>
      <c r="B1613"/>
      <c r="C1613"/>
      <c r="H1613"/>
      <c r="I1613"/>
      <c r="J1613"/>
      <c r="K1613"/>
      <c r="L1613"/>
      <c r="M1613"/>
      <c r="N1613"/>
      <c r="O1613"/>
      <c r="P1613"/>
    </row>
    <row r="1614" spans="1:16" x14ac:dyDescent="0.2">
      <c r="A1614"/>
      <c r="B1614"/>
      <c r="C1614"/>
      <c r="H1614"/>
      <c r="I1614"/>
      <c r="J1614"/>
      <c r="K1614"/>
      <c r="L1614"/>
      <c r="M1614"/>
      <c r="N1614"/>
      <c r="O1614"/>
      <c r="P1614"/>
    </row>
    <row r="1615" spans="1:16" x14ac:dyDescent="0.2">
      <c r="A1615"/>
      <c r="B1615"/>
      <c r="C1615"/>
      <c r="H1615"/>
      <c r="I1615"/>
      <c r="J1615"/>
      <c r="K1615"/>
      <c r="L1615"/>
      <c r="M1615"/>
      <c r="N1615"/>
      <c r="O1615"/>
      <c r="P1615"/>
    </row>
    <row r="1616" spans="1:16" x14ac:dyDescent="0.2">
      <c r="A1616"/>
      <c r="B1616"/>
      <c r="C1616"/>
      <c r="H1616"/>
      <c r="I1616"/>
      <c r="J1616"/>
      <c r="K1616"/>
      <c r="L1616"/>
      <c r="M1616"/>
      <c r="N1616"/>
      <c r="O1616"/>
      <c r="P1616"/>
    </row>
    <row r="1617" spans="1:16" x14ac:dyDescent="0.2">
      <c r="A1617"/>
      <c r="B1617"/>
      <c r="C1617"/>
      <c r="H1617"/>
      <c r="I1617"/>
      <c r="J1617"/>
      <c r="K1617"/>
      <c r="L1617"/>
      <c r="M1617"/>
      <c r="N1617"/>
      <c r="O1617"/>
      <c r="P1617"/>
    </row>
    <row r="1618" spans="1:16" x14ac:dyDescent="0.2">
      <c r="A1618"/>
      <c r="B1618"/>
      <c r="C1618"/>
      <c r="H1618"/>
      <c r="I1618"/>
      <c r="J1618"/>
      <c r="K1618"/>
      <c r="L1618"/>
      <c r="M1618"/>
      <c r="N1618"/>
      <c r="O1618"/>
      <c r="P1618"/>
    </row>
    <row r="1619" spans="1:16" x14ac:dyDescent="0.2">
      <c r="A1619"/>
      <c r="B1619"/>
      <c r="C1619"/>
      <c r="H1619"/>
      <c r="I1619"/>
      <c r="J1619"/>
      <c r="K1619"/>
      <c r="L1619"/>
      <c r="M1619"/>
      <c r="N1619"/>
      <c r="O1619"/>
      <c r="P1619"/>
    </row>
    <row r="1620" spans="1:16" x14ac:dyDescent="0.2">
      <c r="A1620"/>
      <c r="B1620"/>
      <c r="C1620"/>
      <c r="H1620"/>
      <c r="I1620"/>
      <c r="J1620"/>
      <c r="K1620"/>
      <c r="L1620"/>
      <c r="M1620"/>
      <c r="N1620"/>
      <c r="O1620"/>
      <c r="P1620"/>
    </row>
    <row r="1621" spans="1:16" x14ac:dyDescent="0.2">
      <c r="A1621"/>
      <c r="B1621"/>
      <c r="C1621"/>
      <c r="H1621"/>
      <c r="I1621"/>
      <c r="J1621"/>
      <c r="K1621"/>
      <c r="L1621"/>
      <c r="M1621"/>
      <c r="N1621"/>
      <c r="O1621"/>
      <c r="P1621"/>
    </row>
    <row r="1622" spans="1:16" x14ac:dyDescent="0.2">
      <c r="A1622"/>
      <c r="B1622"/>
      <c r="C1622"/>
      <c r="H1622"/>
      <c r="I1622"/>
      <c r="J1622"/>
      <c r="K1622"/>
      <c r="L1622"/>
      <c r="M1622"/>
      <c r="N1622"/>
      <c r="O1622"/>
      <c r="P1622"/>
    </row>
    <row r="1623" spans="1:16" x14ac:dyDescent="0.2">
      <c r="A1623"/>
      <c r="B1623"/>
      <c r="C1623"/>
      <c r="H1623"/>
      <c r="I1623"/>
      <c r="J1623"/>
      <c r="K1623"/>
      <c r="L1623"/>
      <c r="M1623"/>
      <c r="N1623"/>
      <c r="O1623"/>
      <c r="P1623"/>
    </row>
    <row r="1624" spans="1:16" x14ac:dyDescent="0.2">
      <c r="A1624"/>
      <c r="B1624"/>
      <c r="C1624"/>
      <c r="H1624"/>
      <c r="I1624"/>
      <c r="J1624"/>
      <c r="K1624"/>
      <c r="L1624"/>
      <c r="M1624"/>
      <c r="N1624"/>
      <c r="O1624"/>
      <c r="P1624"/>
    </row>
    <row r="1625" spans="1:16" x14ac:dyDescent="0.2">
      <c r="A1625"/>
      <c r="B1625"/>
      <c r="C1625"/>
      <c r="H1625"/>
      <c r="I1625"/>
      <c r="J1625"/>
      <c r="K1625"/>
      <c r="L1625"/>
      <c r="M1625"/>
      <c r="N1625"/>
      <c r="O1625"/>
      <c r="P1625"/>
    </row>
    <row r="1626" spans="1:16" x14ac:dyDescent="0.2">
      <c r="A1626"/>
      <c r="B1626"/>
      <c r="C1626"/>
      <c r="H1626"/>
      <c r="I1626"/>
      <c r="J1626"/>
      <c r="K1626"/>
      <c r="L1626"/>
      <c r="M1626"/>
      <c r="N1626"/>
      <c r="O1626"/>
      <c r="P1626"/>
    </row>
    <row r="1627" spans="1:16" x14ac:dyDescent="0.2">
      <c r="A1627"/>
      <c r="B1627"/>
      <c r="C1627"/>
      <c r="H1627"/>
      <c r="I1627"/>
      <c r="J1627"/>
      <c r="K1627"/>
      <c r="L1627"/>
      <c r="M1627"/>
      <c r="N1627"/>
      <c r="O1627"/>
      <c r="P1627"/>
    </row>
    <row r="1628" spans="1:16" x14ac:dyDescent="0.2">
      <c r="A1628"/>
      <c r="B1628"/>
      <c r="C1628"/>
      <c r="H1628"/>
      <c r="I1628"/>
      <c r="J1628"/>
      <c r="K1628"/>
      <c r="L1628"/>
      <c r="M1628"/>
      <c r="N1628"/>
      <c r="O1628"/>
      <c r="P1628"/>
    </row>
    <row r="1629" spans="1:16" x14ac:dyDescent="0.2">
      <c r="A1629"/>
      <c r="B1629"/>
      <c r="C1629"/>
      <c r="H1629"/>
      <c r="I1629"/>
      <c r="J1629"/>
      <c r="K1629"/>
      <c r="L1629"/>
      <c r="M1629"/>
      <c r="N1629"/>
      <c r="O1629"/>
      <c r="P1629"/>
    </row>
    <row r="1630" spans="1:16" x14ac:dyDescent="0.2">
      <c r="A1630"/>
      <c r="B1630"/>
      <c r="C1630"/>
      <c r="H1630"/>
      <c r="I1630"/>
      <c r="J1630"/>
      <c r="K1630"/>
      <c r="L1630"/>
      <c r="M1630"/>
      <c r="N1630"/>
      <c r="O1630"/>
      <c r="P1630"/>
    </row>
    <row r="1631" spans="1:16" x14ac:dyDescent="0.2">
      <c r="A1631"/>
      <c r="B1631"/>
      <c r="C1631"/>
      <c r="H1631"/>
      <c r="I1631"/>
      <c r="J1631"/>
      <c r="K1631"/>
      <c r="L1631"/>
      <c r="M1631"/>
      <c r="N1631"/>
      <c r="O1631"/>
      <c r="P1631"/>
    </row>
    <row r="1632" spans="1:16" x14ac:dyDescent="0.2">
      <c r="A1632"/>
      <c r="B1632"/>
      <c r="C1632"/>
      <c r="H1632"/>
      <c r="I1632"/>
      <c r="J1632"/>
      <c r="K1632"/>
      <c r="L1632"/>
      <c r="M1632"/>
      <c r="N1632"/>
      <c r="O1632"/>
      <c r="P1632"/>
    </row>
    <row r="1633" spans="1:16" x14ac:dyDescent="0.2">
      <c r="A1633"/>
      <c r="B1633"/>
      <c r="C1633"/>
      <c r="H1633"/>
      <c r="I1633"/>
      <c r="J1633"/>
      <c r="K1633"/>
      <c r="L1633"/>
      <c r="M1633"/>
      <c r="N1633"/>
      <c r="O1633"/>
      <c r="P1633"/>
    </row>
    <row r="1634" spans="1:16" x14ac:dyDescent="0.2">
      <c r="A1634"/>
      <c r="B1634"/>
      <c r="C1634"/>
      <c r="H1634"/>
      <c r="I1634"/>
      <c r="J1634"/>
      <c r="K1634"/>
      <c r="L1634"/>
      <c r="M1634"/>
      <c r="N1634"/>
      <c r="O1634"/>
      <c r="P1634"/>
    </row>
    <row r="1635" spans="1:16" x14ac:dyDescent="0.2">
      <c r="A1635"/>
      <c r="B1635"/>
      <c r="C1635"/>
      <c r="H1635"/>
      <c r="I1635"/>
      <c r="J1635"/>
      <c r="K1635"/>
      <c r="L1635"/>
      <c r="M1635"/>
      <c r="N1635"/>
      <c r="O1635"/>
      <c r="P1635"/>
    </row>
    <row r="1636" spans="1:16" x14ac:dyDescent="0.2">
      <c r="A1636"/>
      <c r="B1636"/>
      <c r="C1636"/>
      <c r="H1636"/>
      <c r="I1636"/>
      <c r="J1636"/>
      <c r="K1636"/>
      <c r="L1636"/>
      <c r="M1636"/>
      <c r="N1636"/>
      <c r="O1636"/>
      <c r="P1636"/>
    </row>
    <row r="1637" spans="1:16" x14ac:dyDescent="0.2">
      <c r="A1637"/>
      <c r="B1637"/>
      <c r="C1637"/>
      <c r="H1637"/>
      <c r="I1637"/>
      <c r="J1637"/>
      <c r="K1637"/>
      <c r="L1637"/>
      <c r="M1637"/>
      <c r="N1637"/>
      <c r="O1637"/>
      <c r="P1637"/>
    </row>
    <row r="1638" spans="1:16" x14ac:dyDescent="0.2">
      <c r="A1638"/>
      <c r="B1638"/>
      <c r="C1638"/>
      <c r="H1638"/>
      <c r="I1638"/>
      <c r="J1638"/>
      <c r="K1638"/>
      <c r="L1638"/>
      <c r="M1638"/>
      <c r="N1638"/>
      <c r="O1638"/>
      <c r="P1638"/>
    </row>
    <row r="1639" spans="1:16" x14ac:dyDescent="0.2">
      <c r="A1639"/>
      <c r="B1639"/>
      <c r="C1639"/>
      <c r="H1639"/>
      <c r="I1639"/>
      <c r="J1639"/>
      <c r="K1639"/>
      <c r="L1639"/>
      <c r="M1639"/>
      <c r="N1639"/>
      <c r="O1639"/>
      <c r="P1639"/>
    </row>
    <row r="1640" spans="1:16" x14ac:dyDescent="0.2">
      <c r="A1640"/>
      <c r="B1640"/>
      <c r="C1640"/>
      <c r="H1640"/>
      <c r="I1640"/>
      <c r="J1640"/>
      <c r="K1640"/>
      <c r="L1640"/>
      <c r="M1640"/>
      <c r="N1640"/>
      <c r="O1640"/>
      <c r="P1640"/>
    </row>
    <row r="1641" spans="1:16" x14ac:dyDescent="0.2">
      <c r="A1641"/>
      <c r="B1641"/>
      <c r="C1641"/>
      <c r="H1641"/>
      <c r="I1641"/>
      <c r="J1641"/>
      <c r="K1641"/>
      <c r="L1641"/>
      <c r="M1641"/>
      <c r="N1641"/>
      <c r="O1641"/>
      <c r="P1641"/>
    </row>
    <row r="1642" spans="1:16" x14ac:dyDescent="0.2">
      <c r="A1642"/>
      <c r="B1642"/>
      <c r="C1642"/>
      <c r="H1642"/>
      <c r="I1642"/>
      <c r="J1642"/>
      <c r="K1642"/>
      <c r="L1642"/>
      <c r="M1642"/>
      <c r="N1642"/>
      <c r="O1642"/>
      <c r="P1642"/>
    </row>
    <row r="1643" spans="1:16" x14ac:dyDescent="0.2">
      <c r="A1643"/>
      <c r="B1643"/>
      <c r="C1643"/>
      <c r="H1643"/>
      <c r="I1643"/>
      <c r="J1643"/>
      <c r="K1643"/>
      <c r="L1643"/>
      <c r="M1643"/>
      <c r="N1643"/>
      <c r="O1643"/>
      <c r="P1643"/>
    </row>
    <row r="1644" spans="1:16" x14ac:dyDescent="0.2">
      <c r="A1644"/>
      <c r="B1644"/>
      <c r="C1644"/>
      <c r="H1644"/>
      <c r="I1644"/>
      <c r="J1644"/>
      <c r="K1644"/>
      <c r="L1644"/>
      <c r="M1644"/>
      <c r="N1644"/>
      <c r="O1644"/>
      <c r="P1644"/>
    </row>
    <row r="1645" spans="1:16" x14ac:dyDescent="0.2">
      <c r="A1645"/>
      <c r="B1645"/>
      <c r="C1645"/>
      <c r="H1645"/>
      <c r="I1645"/>
      <c r="J1645"/>
      <c r="K1645"/>
      <c r="L1645"/>
      <c r="M1645"/>
      <c r="N1645"/>
      <c r="O1645"/>
      <c r="P1645"/>
    </row>
    <row r="1646" spans="1:16" x14ac:dyDescent="0.2">
      <c r="A1646"/>
      <c r="B1646"/>
      <c r="C1646"/>
      <c r="H1646"/>
      <c r="I1646"/>
      <c r="J1646"/>
      <c r="K1646"/>
      <c r="L1646"/>
      <c r="M1646"/>
      <c r="N1646"/>
      <c r="O1646"/>
      <c r="P1646"/>
    </row>
    <row r="1647" spans="1:16" x14ac:dyDescent="0.2">
      <c r="A1647"/>
      <c r="B1647"/>
      <c r="C1647"/>
      <c r="H1647"/>
      <c r="I1647"/>
      <c r="J1647"/>
      <c r="K1647"/>
      <c r="L1647"/>
      <c r="M1647"/>
      <c r="N1647"/>
      <c r="O1647"/>
      <c r="P1647"/>
    </row>
    <row r="1648" spans="1:16" x14ac:dyDescent="0.2">
      <c r="A1648"/>
      <c r="B1648"/>
      <c r="C1648"/>
      <c r="H1648"/>
      <c r="I1648"/>
      <c r="J1648"/>
      <c r="K1648"/>
      <c r="L1648"/>
      <c r="M1648"/>
      <c r="N1648"/>
      <c r="O1648"/>
      <c r="P1648"/>
    </row>
    <row r="1649" spans="1:16" x14ac:dyDescent="0.2">
      <c r="A1649"/>
      <c r="B1649"/>
      <c r="C1649"/>
      <c r="H1649"/>
      <c r="I1649"/>
      <c r="J1649"/>
      <c r="K1649"/>
      <c r="L1649"/>
      <c r="M1649"/>
      <c r="N1649"/>
      <c r="O1649"/>
      <c r="P1649"/>
    </row>
    <row r="1650" spans="1:16" x14ac:dyDescent="0.2">
      <c r="A1650"/>
      <c r="B1650"/>
      <c r="C1650"/>
      <c r="H1650"/>
      <c r="I1650"/>
      <c r="J1650"/>
      <c r="K1650"/>
      <c r="L1650"/>
      <c r="M1650"/>
      <c r="N1650"/>
      <c r="O1650"/>
      <c r="P1650"/>
    </row>
    <row r="1651" spans="1:16" x14ac:dyDescent="0.2">
      <c r="A1651"/>
      <c r="B1651"/>
      <c r="C1651"/>
      <c r="H1651"/>
      <c r="I1651"/>
      <c r="J1651"/>
      <c r="K1651"/>
      <c r="L1651"/>
      <c r="M1651"/>
      <c r="N1651"/>
      <c r="O1651"/>
      <c r="P1651"/>
    </row>
    <row r="1652" spans="1:16" x14ac:dyDescent="0.2">
      <c r="A1652"/>
      <c r="B1652"/>
      <c r="C1652"/>
      <c r="H1652"/>
      <c r="I1652"/>
      <c r="J1652"/>
      <c r="K1652"/>
      <c r="L1652"/>
      <c r="M1652"/>
      <c r="N1652"/>
      <c r="O1652"/>
      <c r="P1652"/>
    </row>
    <row r="1653" spans="1:16" x14ac:dyDescent="0.2">
      <c r="A1653"/>
      <c r="B1653"/>
      <c r="C1653"/>
      <c r="H1653"/>
      <c r="I1653"/>
      <c r="J1653"/>
      <c r="K1653"/>
      <c r="L1653"/>
      <c r="M1653"/>
      <c r="N1653"/>
      <c r="O1653"/>
      <c r="P1653"/>
    </row>
    <row r="1654" spans="1:16" x14ac:dyDescent="0.2">
      <c r="A1654"/>
      <c r="B1654"/>
      <c r="C1654"/>
      <c r="H1654"/>
      <c r="I1654"/>
      <c r="J1654"/>
      <c r="K1654"/>
      <c r="L1654"/>
      <c r="M1654"/>
      <c r="N1654"/>
      <c r="O1654"/>
      <c r="P1654"/>
    </row>
    <row r="1655" spans="1:16" x14ac:dyDescent="0.2">
      <c r="A1655"/>
      <c r="B1655"/>
      <c r="C1655"/>
      <c r="H1655"/>
      <c r="I1655"/>
      <c r="J1655"/>
      <c r="K1655"/>
      <c r="L1655"/>
      <c r="M1655"/>
      <c r="N1655"/>
      <c r="O1655"/>
      <c r="P1655"/>
    </row>
    <row r="1656" spans="1:16" x14ac:dyDescent="0.2">
      <c r="A1656"/>
      <c r="B1656"/>
      <c r="C1656"/>
      <c r="H1656"/>
      <c r="I1656"/>
      <c r="J1656"/>
      <c r="K1656"/>
      <c r="L1656"/>
      <c r="M1656"/>
      <c r="N1656"/>
      <c r="O1656"/>
      <c r="P1656"/>
    </row>
    <row r="1657" spans="1:16" x14ac:dyDescent="0.2">
      <c r="A1657"/>
      <c r="B1657"/>
      <c r="C1657"/>
      <c r="H1657"/>
      <c r="I1657"/>
      <c r="J1657"/>
      <c r="K1657"/>
      <c r="L1657"/>
      <c r="M1657"/>
      <c r="N1657"/>
      <c r="O1657"/>
      <c r="P1657"/>
    </row>
    <row r="1658" spans="1:16" x14ac:dyDescent="0.2">
      <c r="A1658"/>
      <c r="B1658"/>
      <c r="C1658"/>
      <c r="H1658"/>
      <c r="I1658"/>
      <c r="J1658"/>
      <c r="K1658"/>
      <c r="L1658"/>
      <c r="M1658"/>
      <c r="N1658"/>
      <c r="O1658"/>
      <c r="P1658"/>
    </row>
    <row r="1659" spans="1:16" x14ac:dyDescent="0.2">
      <c r="A1659"/>
      <c r="B1659"/>
      <c r="C1659"/>
      <c r="H1659"/>
      <c r="I1659"/>
      <c r="J1659"/>
      <c r="K1659"/>
      <c r="L1659"/>
      <c r="M1659"/>
      <c r="N1659"/>
      <c r="O1659"/>
      <c r="P1659"/>
    </row>
    <row r="1660" spans="1:16" x14ac:dyDescent="0.2">
      <c r="A1660"/>
      <c r="B1660"/>
      <c r="C1660"/>
      <c r="H1660"/>
      <c r="I1660"/>
      <c r="J1660"/>
      <c r="K1660"/>
      <c r="L1660"/>
      <c r="M1660"/>
      <c r="N1660"/>
      <c r="O1660"/>
      <c r="P1660"/>
    </row>
    <row r="1661" spans="1:16" x14ac:dyDescent="0.2">
      <c r="A1661"/>
      <c r="B1661"/>
      <c r="C1661"/>
      <c r="H1661"/>
      <c r="I1661"/>
      <c r="J1661"/>
      <c r="K1661"/>
      <c r="L1661"/>
      <c r="M1661"/>
      <c r="N1661"/>
      <c r="O1661"/>
      <c r="P1661"/>
    </row>
    <row r="1662" spans="1:16" x14ac:dyDescent="0.2">
      <c r="A1662"/>
      <c r="B1662"/>
      <c r="C1662"/>
      <c r="H1662"/>
      <c r="I1662"/>
      <c r="J1662"/>
      <c r="K1662"/>
      <c r="L1662"/>
      <c r="M1662"/>
      <c r="N1662"/>
      <c r="O1662"/>
      <c r="P1662"/>
    </row>
    <row r="1663" spans="1:16" x14ac:dyDescent="0.2">
      <c r="A1663"/>
      <c r="B1663"/>
      <c r="C1663"/>
      <c r="H1663"/>
      <c r="I1663"/>
      <c r="J1663"/>
      <c r="K1663"/>
      <c r="L1663"/>
      <c r="M1663"/>
      <c r="N1663"/>
      <c r="O1663"/>
      <c r="P1663"/>
    </row>
    <row r="1664" spans="1:16" x14ac:dyDescent="0.2">
      <c r="A1664"/>
      <c r="B1664"/>
      <c r="C1664"/>
      <c r="H1664"/>
      <c r="I1664"/>
      <c r="J1664"/>
      <c r="K1664"/>
      <c r="L1664"/>
      <c r="M1664"/>
      <c r="N1664"/>
      <c r="O1664"/>
      <c r="P1664"/>
    </row>
    <row r="1665" spans="1:16" x14ac:dyDescent="0.2">
      <c r="A1665"/>
      <c r="B1665"/>
      <c r="C1665"/>
      <c r="H1665"/>
      <c r="I1665"/>
      <c r="J1665"/>
      <c r="K1665"/>
      <c r="L1665"/>
      <c r="M1665"/>
      <c r="N1665"/>
      <c r="O1665"/>
      <c r="P1665"/>
    </row>
    <row r="1666" spans="1:16" x14ac:dyDescent="0.2">
      <c r="A1666"/>
      <c r="B1666"/>
      <c r="C1666"/>
      <c r="H1666"/>
      <c r="I1666"/>
      <c r="J1666"/>
      <c r="K1666"/>
      <c r="L1666"/>
      <c r="M1666"/>
      <c r="N1666"/>
      <c r="O1666"/>
      <c r="P1666"/>
    </row>
    <row r="1667" spans="1:16" x14ac:dyDescent="0.2">
      <c r="A1667"/>
      <c r="B1667"/>
      <c r="C1667"/>
      <c r="H1667"/>
      <c r="I1667"/>
      <c r="J1667"/>
      <c r="K1667"/>
      <c r="L1667"/>
      <c r="M1667"/>
      <c r="N1667"/>
      <c r="O1667"/>
      <c r="P1667"/>
    </row>
    <row r="1668" spans="1:16" x14ac:dyDescent="0.2">
      <c r="A1668"/>
      <c r="B1668"/>
      <c r="C1668"/>
      <c r="H1668"/>
      <c r="I1668"/>
      <c r="J1668"/>
      <c r="K1668"/>
      <c r="L1668"/>
      <c r="M1668"/>
      <c r="N1668"/>
      <c r="O1668"/>
      <c r="P1668"/>
    </row>
    <row r="1669" spans="1:16" x14ac:dyDescent="0.2">
      <c r="A1669"/>
      <c r="B1669"/>
      <c r="C1669"/>
      <c r="H1669"/>
      <c r="I1669"/>
      <c r="J1669"/>
      <c r="K1669"/>
      <c r="L1669"/>
      <c r="M1669"/>
      <c r="N1669"/>
      <c r="O1669"/>
      <c r="P1669"/>
    </row>
    <row r="1670" spans="1:16" x14ac:dyDescent="0.2">
      <c r="A1670"/>
      <c r="B1670"/>
      <c r="C1670"/>
      <c r="H1670"/>
      <c r="I1670"/>
      <c r="J1670"/>
      <c r="K1670"/>
      <c r="L1670"/>
      <c r="M1670"/>
      <c r="N1670"/>
      <c r="O1670"/>
      <c r="P1670"/>
    </row>
    <row r="1671" spans="1:16" x14ac:dyDescent="0.2">
      <c r="A1671"/>
      <c r="B1671"/>
      <c r="C1671"/>
      <c r="H1671"/>
      <c r="I1671"/>
      <c r="J1671"/>
      <c r="K1671"/>
      <c r="L1671"/>
      <c r="M1671"/>
      <c r="N1671"/>
      <c r="O1671"/>
      <c r="P1671"/>
    </row>
    <row r="1672" spans="1:16" x14ac:dyDescent="0.2">
      <c r="A1672"/>
      <c r="B1672"/>
      <c r="C1672"/>
      <c r="H1672"/>
      <c r="I1672"/>
      <c r="J1672"/>
      <c r="K1672"/>
      <c r="L1672"/>
      <c r="M1672"/>
      <c r="N1672"/>
      <c r="O1672"/>
      <c r="P1672"/>
    </row>
    <row r="1673" spans="1:16" x14ac:dyDescent="0.2">
      <c r="A1673"/>
      <c r="B1673"/>
      <c r="C1673"/>
      <c r="H1673"/>
      <c r="I1673"/>
      <c r="J1673"/>
      <c r="K1673"/>
      <c r="L1673"/>
      <c r="M1673"/>
      <c r="N1673"/>
      <c r="O1673"/>
      <c r="P1673"/>
    </row>
    <row r="1674" spans="1:16" x14ac:dyDescent="0.2">
      <c r="A1674"/>
      <c r="B1674"/>
      <c r="C1674"/>
      <c r="H1674"/>
      <c r="I1674"/>
      <c r="J1674"/>
      <c r="K1674"/>
      <c r="L1674"/>
      <c r="M1674"/>
      <c r="N1674"/>
      <c r="O1674"/>
      <c r="P1674"/>
    </row>
    <row r="1675" spans="1:16" x14ac:dyDescent="0.2">
      <c r="A1675"/>
      <c r="B1675"/>
      <c r="C1675"/>
      <c r="H1675"/>
      <c r="I1675"/>
      <c r="J1675"/>
      <c r="K1675"/>
      <c r="L1675"/>
      <c r="M1675"/>
      <c r="N1675"/>
      <c r="O1675"/>
      <c r="P1675"/>
    </row>
    <row r="1676" spans="1:16" x14ac:dyDescent="0.2">
      <c r="A1676"/>
      <c r="B1676"/>
      <c r="C1676"/>
      <c r="H1676"/>
      <c r="I1676"/>
      <c r="J1676"/>
      <c r="K1676"/>
      <c r="L1676"/>
      <c r="M1676"/>
      <c r="N1676"/>
      <c r="O1676"/>
      <c r="P1676"/>
    </row>
    <row r="1677" spans="1:16" x14ac:dyDescent="0.2">
      <c r="A1677"/>
      <c r="B1677"/>
      <c r="C1677"/>
      <c r="H1677"/>
      <c r="I1677"/>
      <c r="J1677"/>
      <c r="K1677"/>
      <c r="L1677"/>
      <c r="M1677"/>
      <c r="N1677"/>
      <c r="O1677"/>
      <c r="P1677"/>
    </row>
    <row r="1678" spans="1:16" x14ac:dyDescent="0.2">
      <c r="A1678"/>
      <c r="B1678"/>
      <c r="C1678"/>
      <c r="H1678"/>
      <c r="I1678"/>
      <c r="J1678"/>
      <c r="K1678"/>
      <c r="L1678"/>
      <c r="M1678"/>
      <c r="N1678"/>
      <c r="O1678"/>
      <c r="P1678"/>
    </row>
    <row r="1679" spans="1:16" x14ac:dyDescent="0.2">
      <c r="A1679"/>
      <c r="B1679"/>
      <c r="C1679"/>
      <c r="H1679"/>
      <c r="I1679"/>
      <c r="J1679"/>
      <c r="K1679"/>
      <c r="L1679"/>
      <c r="M1679"/>
      <c r="N1679"/>
      <c r="O1679"/>
      <c r="P1679"/>
    </row>
    <row r="1680" spans="1:16" x14ac:dyDescent="0.2">
      <c r="A1680"/>
      <c r="B1680"/>
      <c r="C1680"/>
      <c r="H1680"/>
      <c r="I1680"/>
      <c r="J1680"/>
      <c r="K1680"/>
      <c r="L1680"/>
      <c r="M1680"/>
      <c r="N1680"/>
      <c r="O1680"/>
      <c r="P1680"/>
    </row>
    <row r="1681" spans="1:16" x14ac:dyDescent="0.2">
      <c r="A1681"/>
      <c r="B1681"/>
      <c r="C1681"/>
      <c r="H1681"/>
      <c r="I1681"/>
      <c r="J1681"/>
      <c r="K1681"/>
      <c r="L1681"/>
      <c r="M1681"/>
      <c r="N1681"/>
      <c r="O1681"/>
      <c r="P1681"/>
    </row>
    <row r="1682" spans="1:16" x14ac:dyDescent="0.2">
      <c r="A1682"/>
      <c r="B1682"/>
      <c r="C1682"/>
      <c r="H1682"/>
      <c r="I1682"/>
      <c r="J1682"/>
      <c r="K1682"/>
      <c r="L1682"/>
      <c r="M1682"/>
      <c r="N1682"/>
      <c r="O1682"/>
      <c r="P1682"/>
    </row>
    <row r="1683" spans="1:16" x14ac:dyDescent="0.2">
      <c r="A1683"/>
      <c r="B1683"/>
      <c r="C1683"/>
      <c r="H1683"/>
      <c r="I1683"/>
      <c r="J1683"/>
      <c r="K1683"/>
      <c r="L1683"/>
      <c r="M1683"/>
      <c r="N1683"/>
      <c r="O1683"/>
      <c r="P1683"/>
    </row>
    <row r="1684" spans="1:16" x14ac:dyDescent="0.2">
      <c r="A1684"/>
      <c r="B1684"/>
      <c r="C1684"/>
      <c r="H1684"/>
      <c r="I1684"/>
      <c r="J1684"/>
      <c r="K1684"/>
      <c r="L1684"/>
      <c r="M1684"/>
      <c r="N1684"/>
      <c r="O1684"/>
      <c r="P1684"/>
    </row>
    <row r="1685" spans="1:16" x14ac:dyDescent="0.2">
      <c r="A1685"/>
      <c r="B1685"/>
      <c r="C1685"/>
      <c r="H1685"/>
      <c r="I1685"/>
      <c r="J1685"/>
      <c r="K1685"/>
      <c r="L1685"/>
      <c r="M1685"/>
      <c r="N1685"/>
      <c r="O1685"/>
      <c r="P1685"/>
    </row>
    <row r="1686" spans="1:16" x14ac:dyDescent="0.2">
      <c r="A1686"/>
      <c r="B1686"/>
      <c r="C1686"/>
      <c r="H1686"/>
      <c r="I1686"/>
      <c r="J1686"/>
      <c r="K1686"/>
      <c r="L1686"/>
      <c r="M1686"/>
      <c r="N1686"/>
      <c r="O1686"/>
      <c r="P1686"/>
    </row>
    <row r="1687" spans="1:16" x14ac:dyDescent="0.2">
      <c r="A1687"/>
      <c r="B1687"/>
      <c r="C1687"/>
      <c r="H1687"/>
      <c r="I1687"/>
      <c r="J1687"/>
      <c r="K1687"/>
      <c r="L1687"/>
      <c r="M1687"/>
      <c r="N1687"/>
      <c r="O1687"/>
      <c r="P1687"/>
    </row>
    <row r="1688" spans="1:16" x14ac:dyDescent="0.2">
      <c r="A1688"/>
      <c r="B1688"/>
      <c r="C1688"/>
      <c r="H1688"/>
      <c r="I1688"/>
      <c r="J1688"/>
      <c r="K1688"/>
      <c r="L1688"/>
      <c r="M1688"/>
      <c r="N1688"/>
      <c r="O1688"/>
      <c r="P1688"/>
    </row>
    <row r="1689" spans="1:16" x14ac:dyDescent="0.2">
      <c r="A1689"/>
      <c r="B1689"/>
      <c r="C1689"/>
      <c r="H1689"/>
      <c r="I1689"/>
      <c r="J1689"/>
      <c r="K1689"/>
      <c r="L1689"/>
      <c r="M1689"/>
      <c r="N1689"/>
      <c r="O1689"/>
      <c r="P1689"/>
    </row>
    <row r="1690" spans="1:16" x14ac:dyDescent="0.2">
      <c r="A1690"/>
      <c r="B1690"/>
      <c r="C1690"/>
      <c r="H1690"/>
      <c r="I1690"/>
      <c r="J1690"/>
      <c r="K1690"/>
      <c r="L1690"/>
      <c r="M1690"/>
      <c r="N1690"/>
      <c r="O1690"/>
      <c r="P1690"/>
    </row>
    <row r="1691" spans="1:16" x14ac:dyDescent="0.2">
      <c r="A1691"/>
      <c r="B1691"/>
      <c r="C1691"/>
      <c r="H1691"/>
      <c r="I1691"/>
      <c r="J1691"/>
      <c r="K1691"/>
      <c r="L1691"/>
      <c r="M1691"/>
      <c r="N1691"/>
      <c r="O1691"/>
      <c r="P1691"/>
    </row>
    <row r="1692" spans="1:16" x14ac:dyDescent="0.2">
      <c r="A1692"/>
      <c r="B1692"/>
      <c r="C1692"/>
      <c r="H1692"/>
      <c r="I1692"/>
      <c r="J1692"/>
      <c r="K1692"/>
      <c r="L1692"/>
      <c r="M1692"/>
      <c r="N1692"/>
      <c r="O1692"/>
      <c r="P1692"/>
    </row>
    <row r="1693" spans="1:16" x14ac:dyDescent="0.2">
      <c r="A1693"/>
      <c r="B1693"/>
      <c r="C1693"/>
      <c r="H1693"/>
      <c r="I1693"/>
      <c r="J1693"/>
      <c r="K1693"/>
      <c r="L1693"/>
      <c r="M1693"/>
      <c r="N1693"/>
      <c r="O1693"/>
      <c r="P1693"/>
    </row>
    <row r="1694" spans="1:16" x14ac:dyDescent="0.2">
      <c r="A1694"/>
      <c r="B1694"/>
      <c r="C1694"/>
      <c r="H1694"/>
      <c r="I1694"/>
      <c r="J1694"/>
      <c r="K1694"/>
      <c r="L1694"/>
      <c r="M1694"/>
      <c r="N1694"/>
      <c r="O1694"/>
      <c r="P1694"/>
    </row>
    <row r="1695" spans="1:16" x14ac:dyDescent="0.2">
      <c r="A1695"/>
      <c r="B1695"/>
      <c r="C1695"/>
      <c r="H1695"/>
      <c r="I1695"/>
      <c r="J1695"/>
      <c r="K1695"/>
      <c r="L1695"/>
      <c r="M1695"/>
      <c r="N1695"/>
      <c r="O1695"/>
      <c r="P1695"/>
    </row>
    <row r="1696" spans="1:16" x14ac:dyDescent="0.2">
      <c r="A1696"/>
      <c r="B1696"/>
      <c r="C1696"/>
      <c r="H1696"/>
      <c r="I1696"/>
      <c r="J1696"/>
      <c r="K1696"/>
      <c r="L1696"/>
      <c r="M1696"/>
      <c r="N1696"/>
      <c r="O1696"/>
      <c r="P1696"/>
    </row>
    <row r="1697" spans="1:16" x14ac:dyDescent="0.2">
      <c r="A1697"/>
      <c r="B1697"/>
      <c r="C1697"/>
      <c r="H1697"/>
      <c r="I1697"/>
      <c r="J1697"/>
      <c r="K1697"/>
      <c r="L1697"/>
      <c r="M1697"/>
      <c r="N1697"/>
      <c r="O1697"/>
      <c r="P1697"/>
    </row>
    <row r="1698" spans="1:16" x14ac:dyDescent="0.2">
      <c r="A1698"/>
      <c r="B1698"/>
      <c r="C1698"/>
      <c r="H1698"/>
      <c r="I1698"/>
      <c r="J1698"/>
      <c r="K1698"/>
      <c r="L1698"/>
      <c r="M1698"/>
      <c r="N1698"/>
      <c r="O1698"/>
      <c r="P1698"/>
    </row>
    <row r="1699" spans="1:16" x14ac:dyDescent="0.2">
      <c r="A1699"/>
      <c r="B1699"/>
      <c r="C1699"/>
      <c r="H1699"/>
      <c r="I1699"/>
      <c r="J1699"/>
      <c r="K1699"/>
      <c r="L1699"/>
      <c r="M1699"/>
      <c r="N1699"/>
      <c r="O1699"/>
      <c r="P1699"/>
    </row>
    <row r="1700" spans="1:16" x14ac:dyDescent="0.2">
      <c r="A1700"/>
      <c r="B1700"/>
      <c r="C1700"/>
      <c r="H1700"/>
      <c r="I1700"/>
      <c r="J1700"/>
      <c r="K1700"/>
      <c r="L1700"/>
      <c r="M1700"/>
      <c r="N1700"/>
      <c r="O1700"/>
      <c r="P1700"/>
    </row>
    <row r="1701" spans="1:16" x14ac:dyDescent="0.2">
      <c r="A1701"/>
      <c r="B1701"/>
      <c r="C1701"/>
      <c r="H1701"/>
      <c r="I1701"/>
      <c r="J1701"/>
      <c r="K1701"/>
      <c r="L1701"/>
      <c r="M1701"/>
      <c r="N1701"/>
      <c r="O1701"/>
      <c r="P1701"/>
    </row>
    <row r="1702" spans="1:16" x14ac:dyDescent="0.2">
      <c r="A1702"/>
      <c r="B1702"/>
      <c r="C1702"/>
      <c r="H1702"/>
      <c r="I1702"/>
      <c r="J1702"/>
      <c r="K1702"/>
      <c r="L1702"/>
      <c r="M1702"/>
      <c r="N1702"/>
      <c r="O1702"/>
      <c r="P1702"/>
    </row>
    <row r="1703" spans="1:16" x14ac:dyDescent="0.2">
      <c r="A1703"/>
      <c r="B1703"/>
      <c r="C1703"/>
      <c r="H1703"/>
      <c r="I1703"/>
      <c r="J1703"/>
      <c r="K1703"/>
      <c r="L1703"/>
      <c r="M1703"/>
      <c r="N1703"/>
      <c r="O1703"/>
      <c r="P1703"/>
    </row>
    <row r="1704" spans="1:16" x14ac:dyDescent="0.2">
      <c r="A1704"/>
      <c r="B1704"/>
      <c r="C1704"/>
      <c r="H1704"/>
      <c r="I1704"/>
      <c r="J1704"/>
      <c r="K1704"/>
      <c r="L1704"/>
      <c r="M1704"/>
      <c r="N1704"/>
      <c r="O1704"/>
      <c r="P1704"/>
    </row>
    <row r="1705" spans="1:16" x14ac:dyDescent="0.2">
      <c r="A1705"/>
      <c r="B1705"/>
      <c r="C1705"/>
      <c r="H1705"/>
      <c r="I1705"/>
      <c r="J1705"/>
      <c r="K1705"/>
      <c r="L1705"/>
      <c r="M1705"/>
      <c r="N1705"/>
      <c r="O1705"/>
      <c r="P1705"/>
    </row>
    <row r="1706" spans="1:16" x14ac:dyDescent="0.2">
      <c r="A1706"/>
      <c r="B1706"/>
      <c r="C1706"/>
      <c r="H1706"/>
      <c r="I1706"/>
      <c r="J1706"/>
      <c r="K1706"/>
      <c r="L1706"/>
      <c r="M1706"/>
      <c r="N1706"/>
      <c r="O1706"/>
      <c r="P1706"/>
    </row>
    <row r="1707" spans="1:16" x14ac:dyDescent="0.2">
      <c r="A1707"/>
      <c r="B1707"/>
      <c r="C1707"/>
      <c r="H1707"/>
      <c r="I1707"/>
      <c r="J1707"/>
      <c r="K1707"/>
      <c r="L1707"/>
      <c r="M1707"/>
      <c r="N1707"/>
      <c r="O1707"/>
      <c r="P1707"/>
    </row>
    <row r="1708" spans="1:16" x14ac:dyDescent="0.2">
      <c r="A1708"/>
      <c r="B1708"/>
      <c r="C1708"/>
      <c r="H1708"/>
      <c r="I1708"/>
      <c r="J1708"/>
      <c r="K1708"/>
      <c r="L1708"/>
      <c r="M1708"/>
      <c r="N1708"/>
      <c r="O1708"/>
      <c r="P1708"/>
    </row>
    <row r="1709" spans="1:16" x14ac:dyDescent="0.2">
      <c r="A1709"/>
      <c r="B1709"/>
      <c r="C1709"/>
      <c r="H1709"/>
      <c r="I1709"/>
      <c r="J1709"/>
      <c r="K1709"/>
      <c r="L1709"/>
      <c r="M1709"/>
      <c r="N1709"/>
      <c r="O1709"/>
      <c r="P1709"/>
    </row>
    <row r="1710" spans="1:16" x14ac:dyDescent="0.2">
      <c r="A1710"/>
      <c r="B1710"/>
      <c r="C1710"/>
      <c r="H1710"/>
      <c r="I1710"/>
      <c r="J1710"/>
      <c r="K1710"/>
      <c r="L1710"/>
      <c r="M1710"/>
      <c r="N1710"/>
      <c r="O1710"/>
      <c r="P1710"/>
    </row>
    <row r="1711" spans="1:16" x14ac:dyDescent="0.2">
      <c r="A1711"/>
      <c r="B1711"/>
      <c r="C1711"/>
      <c r="H1711"/>
      <c r="I1711"/>
      <c r="J1711"/>
      <c r="K1711"/>
      <c r="L1711"/>
      <c r="M1711"/>
      <c r="N1711"/>
      <c r="O1711"/>
      <c r="P1711"/>
    </row>
  </sheetData>
  <mergeCells count="14">
    <mergeCell ref="Q3:Q5"/>
    <mergeCell ref="R3:R5"/>
    <mergeCell ref="I4:I5"/>
    <mergeCell ref="J4:J5"/>
    <mergeCell ref="M4:M5"/>
    <mergeCell ref="N4:N5"/>
    <mergeCell ref="B3:N3"/>
    <mergeCell ref="P3:P5"/>
    <mergeCell ref="C4:C5"/>
    <mergeCell ref="D4:D5"/>
    <mergeCell ref="E4:E5"/>
    <mergeCell ref="F4:F5"/>
    <mergeCell ref="H4:H5"/>
    <mergeCell ref="L4:L5"/>
  </mergeCells>
  <pageMargins left="0.48" right="0.31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94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6.28515625" style="1025" customWidth="1"/>
    <col min="11" max="11" width="1.42578125" style="76" customWidth="1"/>
    <col min="12" max="13" width="14.28515625" style="76" customWidth="1"/>
    <col min="14" max="14" width="6.28515625" style="1025" customWidth="1"/>
    <col min="15" max="15" width="1.42578125" style="76" customWidth="1"/>
    <col min="16" max="16" width="12.85546875" style="76" customWidth="1"/>
    <col min="17" max="17" width="12.85546875" customWidth="1"/>
    <col min="18" max="18" width="5" style="1007" customWidth="1"/>
  </cols>
  <sheetData>
    <row r="1" spans="1:18" ht="11.25" customHeight="1" x14ac:dyDescent="0.2">
      <c r="B1" s="534"/>
      <c r="C1" s="535"/>
      <c r="D1" s="242"/>
      <c r="E1" s="242"/>
      <c r="F1" s="242"/>
      <c r="G1" s="587"/>
      <c r="H1" s="586"/>
      <c r="I1" s="586"/>
      <c r="J1" s="1024"/>
      <c r="K1" s="249"/>
      <c r="L1" s="249"/>
      <c r="M1" s="249"/>
      <c r="O1" s="249"/>
      <c r="P1" s="249"/>
    </row>
    <row r="2" spans="1:18" ht="27.75" customHeight="1" thickBot="1" x14ac:dyDescent="0.4">
      <c r="B2" s="1142" t="s">
        <v>232</v>
      </c>
      <c r="C2" s="1142"/>
      <c r="D2" s="1142"/>
      <c r="E2" s="1142"/>
      <c r="F2" s="1142"/>
      <c r="G2" s="1142"/>
      <c r="H2" s="1142"/>
      <c r="I2" s="924"/>
      <c r="J2" s="1027"/>
      <c r="K2" s="249"/>
      <c r="L2" s="249"/>
      <c r="M2" s="249"/>
      <c r="O2" s="249"/>
      <c r="P2" s="249"/>
    </row>
    <row r="3" spans="1:18" ht="19.5" customHeight="1" thickBot="1" x14ac:dyDescent="0.25">
      <c r="B3" s="1131" t="s">
        <v>632</v>
      </c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3"/>
      <c r="O3" s="116"/>
      <c r="P3" s="1125" t="s">
        <v>716</v>
      </c>
      <c r="Q3" s="1125" t="s">
        <v>886</v>
      </c>
      <c r="R3" s="1128" t="s">
        <v>887</v>
      </c>
    </row>
    <row r="4" spans="1:18" ht="42.75" customHeight="1" thickTop="1" x14ac:dyDescent="0.2">
      <c r="B4" s="548"/>
      <c r="C4" s="1141" t="s">
        <v>478</v>
      </c>
      <c r="D4" s="1141" t="s">
        <v>477</v>
      </c>
      <c r="E4" s="1141" t="s">
        <v>475</v>
      </c>
      <c r="F4" s="1141" t="s">
        <v>476</v>
      </c>
      <c r="G4" s="550" t="s">
        <v>3</v>
      </c>
      <c r="H4" s="1135" t="s">
        <v>902</v>
      </c>
      <c r="I4" s="1135" t="s">
        <v>903</v>
      </c>
      <c r="J4" s="1139" t="s">
        <v>887</v>
      </c>
      <c r="L4" s="1137" t="s">
        <v>904</v>
      </c>
      <c r="M4" s="1137" t="s">
        <v>905</v>
      </c>
      <c r="N4" s="1139" t="s">
        <v>887</v>
      </c>
      <c r="P4" s="1126"/>
      <c r="Q4" s="1126"/>
      <c r="R4" s="1129"/>
    </row>
    <row r="5" spans="1:18" ht="26.25" customHeight="1" thickBot="1" x14ac:dyDescent="0.25">
      <c r="B5" s="925"/>
      <c r="C5" s="1124"/>
      <c r="D5" s="1124"/>
      <c r="E5" s="1124"/>
      <c r="F5" s="1124"/>
      <c r="G5" s="551"/>
      <c r="H5" s="1136"/>
      <c r="I5" s="1136"/>
      <c r="J5" s="1140"/>
      <c r="L5" s="1138"/>
      <c r="M5" s="1138"/>
      <c r="N5" s="1140"/>
      <c r="P5" s="1127"/>
      <c r="Q5" s="1127"/>
      <c r="R5" s="1130"/>
    </row>
    <row r="6" spans="1:18" ht="19.5" thickTop="1" thickBot="1" x14ac:dyDescent="0.25">
      <c r="B6" s="172">
        <v>1</v>
      </c>
      <c r="C6" s="121" t="s">
        <v>233</v>
      </c>
      <c r="D6" s="109"/>
      <c r="E6" s="109"/>
      <c r="F6" s="109"/>
      <c r="G6" s="191"/>
      <c r="H6" s="453">
        <f>H7+H173+H389+H490+H762</f>
        <v>12628749</v>
      </c>
      <c r="I6" s="453">
        <f>I7+I173+I389+I490+I762</f>
        <v>12599433</v>
      </c>
      <c r="J6" s="969">
        <f>I6/H6*100</f>
        <v>99.767862992605203</v>
      </c>
      <c r="K6" s="111"/>
      <c r="L6" s="406">
        <f>L7+L173+L389+L490+L762</f>
        <v>359086</v>
      </c>
      <c r="M6" s="406">
        <f>M7+M173+M389+M490+M762</f>
        <v>307630</v>
      </c>
      <c r="N6" s="1005">
        <f>M6/L6*100</f>
        <v>85.670285112758506</v>
      </c>
      <c r="O6" s="111"/>
      <c r="P6" s="391">
        <f t="shared" ref="P6:P17" si="0">H6+L6</f>
        <v>12987835</v>
      </c>
      <c r="Q6" s="391">
        <f t="shared" ref="Q6:Q52" si="1">I6+M6</f>
        <v>12907063</v>
      </c>
      <c r="R6" s="992">
        <f>Q6/P6*100</f>
        <v>99.378094963479285</v>
      </c>
    </row>
    <row r="7" spans="1:18" ht="15" customHeight="1" thickTop="1" x14ac:dyDescent="0.25">
      <c r="B7" s="172">
        <f>B6+1</f>
        <v>2</v>
      </c>
      <c r="C7" s="23">
        <v>1</v>
      </c>
      <c r="D7" s="123" t="s">
        <v>106</v>
      </c>
      <c r="E7" s="24"/>
      <c r="F7" s="24"/>
      <c r="G7" s="192"/>
      <c r="H7" s="425">
        <f>H8+H169+H170+H171+H156+H167</f>
        <v>2921145</v>
      </c>
      <c r="I7" s="425">
        <f t="shared" ref="I7" si="2">I8+I169+I170+I171+I156+I167</f>
        <v>2919438</v>
      </c>
      <c r="J7" s="994">
        <f t="shared" ref="J7:J70" si="3">I7/H7*100</f>
        <v>99.941564010002921</v>
      </c>
      <c r="K7" s="86"/>
      <c r="L7" s="197">
        <f>L8</f>
        <v>105129</v>
      </c>
      <c r="M7" s="197">
        <f t="shared" ref="M7" si="4">M8</f>
        <v>91828</v>
      </c>
      <c r="N7" s="1034">
        <f t="shared" ref="N7:N65" si="5">M7/L7*100</f>
        <v>87.3479249303237</v>
      </c>
      <c r="O7" s="86"/>
      <c r="P7" s="389">
        <f t="shared" si="0"/>
        <v>3026274</v>
      </c>
      <c r="Q7" s="389">
        <f t="shared" si="1"/>
        <v>3011266</v>
      </c>
      <c r="R7" s="981">
        <f t="shared" ref="R7:R70" si="6">Q7/P7*100</f>
        <v>99.504076630205986</v>
      </c>
    </row>
    <row r="8" spans="1:18" ht="15" customHeight="1" x14ac:dyDescent="0.25">
      <c r="A8" s="409"/>
      <c r="B8" s="172">
        <f t="shared" ref="B8:B79" si="7">B7+1</f>
        <v>3</v>
      </c>
      <c r="C8" s="142"/>
      <c r="D8" s="143"/>
      <c r="E8" s="171" t="s">
        <v>512</v>
      </c>
      <c r="F8" s="143"/>
      <c r="G8" s="201"/>
      <c r="H8" s="426">
        <f>H9+H18+H28+H37+H46+H56+H66+H76+H88+H98+H109+H119+H128+H137+H147</f>
        <v>2353388</v>
      </c>
      <c r="I8" s="426">
        <f t="shared" ref="I8" si="8">I9+I18+I28+I37+I46+I56+I66+I76+I88+I98+I109+I119+I128+I137+I147</f>
        <v>2351765</v>
      </c>
      <c r="J8" s="965">
        <f t="shared" si="3"/>
        <v>99.931035596340251</v>
      </c>
      <c r="K8" s="335"/>
      <c r="L8" s="430">
        <f>L9+L18+L28+L37+L46+L56+L156+L66+L76+L88+L98+L109+L119+L128+L137+L147</f>
        <v>105129</v>
      </c>
      <c r="M8" s="430">
        <f t="shared" ref="M8" si="9">M9+M18+M28+M37+M46+M56+M156+M66+M76+M88+M98+M109+M119+M128+M137+M147</f>
        <v>91828</v>
      </c>
      <c r="N8" s="1035">
        <f t="shared" si="5"/>
        <v>87.3479249303237</v>
      </c>
      <c r="O8" s="335"/>
      <c r="P8" s="347">
        <f t="shared" si="0"/>
        <v>2458517</v>
      </c>
      <c r="Q8" s="347">
        <f t="shared" si="1"/>
        <v>2443593</v>
      </c>
      <c r="R8" s="982">
        <f t="shared" si="6"/>
        <v>99.392967386436609</v>
      </c>
    </row>
    <row r="9" spans="1:18" ht="15" x14ac:dyDescent="0.25">
      <c r="B9" s="172">
        <f t="shared" si="7"/>
        <v>4</v>
      </c>
      <c r="C9" s="74"/>
      <c r="D9" s="29" t="s">
        <v>4</v>
      </c>
      <c r="E9" s="175" t="s">
        <v>290</v>
      </c>
      <c r="F9" s="147" t="s">
        <v>340</v>
      </c>
      <c r="G9" s="238"/>
      <c r="H9" s="427">
        <f>SUM(H10:H12)+H17</f>
        <v>119563</v>
      </c>
      <c r="I9" s="427">
        <f t="shared" ref="I9" si="10">SUM(I10:I12)+I17</f>
        <v>118636</v>
      </c>
      <c r="J9" s="965">
        <f t="shared" si="3"/>
        <v>99.224676530364746</v>
      </c>
      <c r="K9" s="332"/>
      <c r="L9" s="431"/>
      <c r="M9" s="431"/>
      <c r="N9" s="1035"/>
      <c r="O9" s="332"/>
      <c r="P9" s="333">
        <f t="shared" si="0"/>
        <v>119563</v>
      </c>
      <c r="Q9" s="333">
        <f t="shared" si="1"/>
        <v>118636</v>
      </c>
      <c r="R9" s="982">
        <f t="shared" si="6"/>
        <v>99.224676530364746</v>
      </c>
    </row>
    <row r="10" spans="1:18" ht="12" customHeight="1" x14ac:dyDescent="0.2">
      <c r="B10" s="172">
        <f t="shared" si="7"/>
        <v>5</v>
      </c>
      <c r="C10" s="142"/>
      <c r="D10" s="143"/>
      <c r="E10" s="127"/>
      <c r="F10" s="143" t="s">
        <v>211</v>
      </c>
      <c r="G10" s="201" t="s">
        <v>506</v>
      </c>
      <c r="H10" s="387">
        <f>63745+3145+1182-202+1000</f>
        <v>68870</v>
      </c>
      <c r="I10" s="387">
        <v>69102</v>
      </c>
      <c r="J10" s="965">
        <f t="shared" si="3"/>
        <v>100.33686656018585</v>
      </c>
      <c r="K10" s="145"/>
      <c r="L10" s="394"/>
      <c r="M10" s="394"/>
      <c r="N10" s="1035"/>
      <c r="O10" s="145"/>
      <c r="P10" s="167">
        <f t="shared" si="0"/>
        <v>68870</v>
      </c>
      <c r="Q10" s="167">
        <f t="shared" si="1"/>
        <v>69102</v>
      </c>
      <c r="R10" s="982">
        <f t="shared" si="6"/>
        <v>100.33686656018585</v>
      </c>
    </row>
    <row r="11" spans="1:18" ht="12" customHeight="1" x14ac:dyDescent="0.2">
      <c r="B11" s="172">
        <f t="shared" si="7"/>
        <v>6</v>
      </c>
      <c r="C11" s="142"/>
      <c r="D11" s="143"/>
      <c r="E11" s="127"/>
      <c r="F11" s="143" t="s">
        <v>212</v>
      </c>
      <c r="G11" s="201" t="s">
        <v>259</v>
      </c>
      <c r="H11" s="387">
        <f>23675+1167+378+350</f>
        <v>25570</v>
      </c>
      <c r="I11" s="387">
        <v>24939</v>
      </c>
      <c r="J11" s="965">
        <f t="shared" si="3"/>
        <v>97.532264372311303</v>
      </c>
      <c r="K11" s="145"/>
      <c r="L11" s="394"/>
      <c r="M11" s="394"/>
      <c r="N11" s="1035"/>
      <c r="O11" s="145"/>
      <c r="P11" s="167">
        <f t="shared" si="0"/>
        <v>25570</v>
      </c>
      <c r="Q11" s="167">
        <f t="shared" si="1"/>
        <v>24939</v>
      </c>
      <c r="R11" s="982">
        <f t="shared" si="6"/>
        <v>97.532264372311303</v>
      </c>
    </row>
    <row r="12" spans="1:18" ht="12" customHeight="1" x14ac:dyDescent="0.2">
      <c r="B12" s="172">
        <f t="shared" si="7"/>
        <v>7</v>
      </c>
      <c r="C12" s="142"/>
      <c r="D12" s="143"/>
      <c r="E12" s="127"/>
      <c r="F12" s="143" t="s">
        <v>218</v>
      </c>
      <c r="G12" s="201" t="s">
        <v>341</v>
      </c>
      <c r="H12" s="387">
        <f>SUM(H13:H16)</f>
        <v>24921</v>
      </c>
      <c r="I12" s="387">
        <f t="shared" ref="I12" si="11">SUM(I13:I16)</f>
        <v>23994</v>
      </c>
      <c r="J12" s="965">
        <f t="shared" si="3"/>
        <v>96.280245576020235</v>
      </c>
      <c r="K12" s="145"/>
      <c r="L12" s="394"/>
      <c r="M12" s="394"/>
      <c r="N12" s="1035"/>
      <c r="O12" s="145"/>
      <c r="P12" s="167">
        <f t="shared" si="0"/>
        <v>24921</v>
      </c>
      <c r="Q12" s="167">
        <f t="shared" si="1"/>
        <v>23994</v>
      </c>
      <c r="R12" s="982">
        <f t="shared" si="6"/>
        <v>96.280245576020235</v>
      </c>
    </row>
    <row r="13" spans="1:18" ht="12" customHeight="1" x14ac:dyDescent="0.2">
      <c r="B13" s="172">
        <f t="shared" si="7"/>
        <v>8</v>
      </c>
      <c r="C13" s="126"/>
      <c r="D13" s="127"/>
      <c r="E13" s="127"/>
      <c r="F13" s="127" t="s">
        <v>199</v>
      </c>
      <c r="G13" s="193" t="s">
        <v>319</v>
      </c>
      <c r="H13" s="570">
        <v>15610</v>
      </c>
      <c r="I13" s="570">
        <v>14259</v>
      </c>
      <c r="J13" s="966">
        <f t="shared" si="3"/>
        <v>91.345291479820617</v>
      </c>
      <c r="K13" s="128"/>
      <c r="L13" s="141"/>
      <c r="M13" s="141"/>
      <c r="N13" s="1036"/>
      <c r="O13" s="128"/>
      <c r="P13" s="168">
        <f t="shared" si="0"/>
        <v>15610</v>
      </c>
      <c r="Q13" s="168">
        <f t="shared" si="1"/>
        <v>14259</v>
      </c>
      <c r="R13" s="983">
        <f t="shared" si="6"/>
        <v>91.345291479820617</v>
      </c>
    </row>
    <row r="14" spans="1:18" ht="12" customHeight="1" x14ac:dyDescent="0.2">
      <c r="B14" s="172">
        <f t="shared" si="7"/>
        <v>9</v>
      </c>
      <c r="C14" s="126"/>
      <c r="D14" s="127"/>
      <c r="E14" s="127"/>
      <c r="F14" s="127" t="s">
        <v>200</v>
      </c>
      <c r="G14" s="193" t="s">
        <v>247</v>
      </c>
      <c r="H14" s="570">
        <f>5320+800+491</f>
        <v>6611</v>
      </c>
      <c r="I14" s="570">
        <v>5614</v>
      </c>
      <c r="J14" s="966">
        <f t="shared" si="3"/>
        <v>84.919074270155804</v>
      </c>
      <c r="K14" s="128"/>
      <c r="L14" s="141"/>
      <c r="M14" s="141"/>
      <c r="N14" s="1036"/>
      <c r="O14" s="128"/>
      <c r="P14" s="168">
        <f t="shared" si="0"/>
        <v>6611</v>
      </c>
      <c r="Q14" s="168">
        <f t="shared" si="1"/>
        <v>5614</v>
      </c>
      <c r="R14" s="983">
        <f t="shared" si="6"/>
        <v>84.919074270155804</v>
      </c>
    </row>
    <row r="15" spans="1:18" ht="12" customHeight="1" x14ac:dyDescent="0.2">
      <c r="B15" s="172">
        <f t="shared" si="7"/>
        <v>10</v>
      </c>
      <c r="C15" s="126"/>
      <c r="D15" s="127"/>
      <c r="E15" s="127"/>
      <c r="F15" s="127" t="s">
        <v>214</v>
      </c>
      <c r="G15" s="193" t="s">
        <v>261</v>
      </c>
      <c r="H15" s="570">
        <f>100+1090</f>
        <v>1190</v>
      </c>
      <c r="I15" s="570">
        <v>1480</v>
      </c>
      <c r="J15" s="966">
        <f t="shared" si="3"/>
        <v>124.36974789915966</v>
      </c>
      <c r="K15" s="128"/>
      <c r="L15" s="141"/>
      <c r="M15" s="141"/>
      <c r="N15" s="1036"/>
      <c r="O15" s="128"/>
      <c r="P15" s="168">
        <f t="shared" si="0"/>
        <v>1190</v>
      </c>
      <c r="Q15" s="168">
        <f t="shared" si="1"/>
        <v>1480</v>
      </c>
      <c r="R15" s="983">
        <f t="shared" si="6"/>
        <v>124.36974789915966</v>
      </c>
    </row>
    <row r="16" spans="1:18" ht="15" customHeight="1" x14ac:dyDescent="0.2">
      <c r="B16" s="172">
        <f t="shared" si="7"/>
        <v>11</v>
      </c>
      <c r="C16" s="126"/>
      <c r="D16" s="127"/>
      <c r="E16" s="127"/>
      <c r="F16" s="127" t="s">
        <v>216</v>
      </c>
      <c r="G16" s="193" t="s">
        <v>248</v>
      </c>
      <c r="H16" s="570">
        <f>2600-1090</f>
        <v>1510</v>
      </c>
      <c r="I16" s="570">
        <v>2641</v>
      </c>
      <c r="J16" s="966">
        <f t="shared" si="3"/>
        <v>174.90066225165563</v>
      </c>
      <c r="K16" s="128"/>
      <c r="L16" s="141"/>
      <c r="M16" s="141"/>
      <c r="N16" s="1036"/>
      <c r="O16" s="128"/>
      <c r="P16" s="168">
        <f t="shared" si="0"/>
        <v>1510</v>
      </c>
      <c r="Q16" s="168">
        <f t="shared" si="1"/>
        <v>2641</v>
      </c>
      <c r="R16" s="983">
        <f t="shared" si="6"/>
        <v>174.90066225165563</v>
      </c>
    </row>
    <row r="17" spans="2:18" ht="15" customHeight="1" x14ac:dyDescent="0.2">
      <c r="B17" s="172">
        <f t="shared" si="7"/>
        <v>12</v>
      </c>
      <c r="C17" s="126"/>
      <c r="D17" s="127"/>
      <c r="E17" s="170"/>
      <c r="F17" s="286" t="s">
        <v>653</v>
      </c>
      <c r="G17" s="201" t="s">
        <v>666</v>
      </c>
      <c r="H17" s="387">
        <v>202</v>
      </c>
      <c r="I17" s="387">
        <v>601</v>
      </c>
      <c r="J17" s="965">
        <f t="shared" si="3"/>
        <v>297.52475247524751</v>
      </c>
      <c r="K17" s="145"/>
      <c r="L17" s="141"/>
      <c r="M17" s="141"/>
      <c r="N17" s="1036"/>
      <c r="O17" s="145"/>
      <c r="P17" s="167">
        <f t="shared" si="0"/>
        <v>202</v>
      </c>
      <c r="Q17" s="167">
        <f t="shared" si="1"/>
        <v>601</v>
      </c>
      <c r="R17" s="982">
        <f t="shared" si="6"/>
        <v>297.52475247524751</v>
      </c>
    </row>
    <row r="18" spans="2:18" ht="15" x14ac:dyDescent="0.25">
      <c r="B18" s="172">
        <f t="shared" si="7"/>
        <v>13</v>
      </c>
      <c r="C18" s="74"/>
      <c r="D18" s="29" t="s">
        <v>5</v>
      </c>
      <c r="E18" s="175" t="s">
        <v>290</v>
      </c>
      <c r="F18" s="147" t="s">
        <v>342</v>
      </c>
      <c r="G18" s="238"/>
      <c r="H18" s="427">
        <f>SUM(H19:H21)+H26</f>
        <v>152364</v>
      </c>
      <c r="I18" s="427">
        <f t="shared" ref="I18" si="12">SUM(I19:I21)+I26</f>
        <v>151023</v>
      </c>
      <c r="J18" s="965">
        <f t="shared" si="3"/>
        <v>99.119870835630465</v>
      </c>
      <c r="K18" s="334"/>
      <c r="L18" s="431">
        <f>L27</f>
        <v>12507</v>
      </c>
      <c r="M18" s="431">
        <f t="shared" ref="M18" si="13">M27</f>
        <v>550</v>
      </c>
      <c r="N18" s="1035">
        <f t="shared" si="5"/>
        <v>4.3975373790677219</v>
      </c>
      <c r="O18" s="334"/>
      <c r="P18" s="333">
        <f t="shared" ref="P18:P45" si="14">H18+L18</f>
        <v>164871</v>
      </c>
      <c r="Q18" s="333">
        <f t="shared" si="1"/>
        <v>151573</v>
      </c>
      <c r="R18" s="982">
        <f t="shared" si="6"/>
        <v>91.934300149814092</v>
      </c>
    </row>
    <row r="19" spans="2:18" ht="12" customHeight="1" x14ac:dyDescent="0.2">
      <c r="B19" s="172">
        <f t="shared" si="7"/>
        <v>14</v>
      </c>
      <c r="C19" s="142"/>
      <c r="D19" s="143"/>
      <c r="E19" s="127"/>
      <c r="F19" s="143" t="s">
        <v>211</v>
      </c>
      <c r="G19" s="201" t="s">
        <v>506</v>
      </c>
      <c r="H19" s="387">
        <f>78130+3823+1976</f>
        <v>83929</v>
      </c>
      <c r="I19" s="387">
        <v>86129</v>
      </c>
      <c r="J19" s="965">
        <f t="shared" si="3"/>
        <v>102.62126321057083</v>
      </c>
      <c r="K19" s="145"/>
      <c r="L19" s="394"/>
      <c r="M19" s="394"/>
      <c r="N19" s="1035"/>
      <c r="O19" s="145"/>
      <c r="P19" s="167">
        <f t="shared" si="14"/>
        <v>83929</v>
      </c>
      <c r="Q19" s="167">
        <f t="shared" si="1"/>
        <v>86129</v>
      </c>
      <c r="R19" s="982">
        <f t="shared" si="6"/>
        <v>102.62126321057083</v>
      </c>
    </row>
    <row r="20" spans="2:18" ht="12" customHeight="1" x14ac:dyDescent="0.2">
      <c r="B20" s="172">
        <f t="shared" si="7"/>
        <v>15</v>
      </c>
      <c r="C20" s="142"/>
      <c r="D20" s="143"/>
      <c r="E20" s="127"/>
      <c r="F20" s="143" t="s">
        <v>212</v>
      </c>
      <c r="G20" s="201" t="s">
        <v>259</v>
      </c>
      <c r="H20" s="387">
        <f>28760+1407+1980</f>
        <v>32147</v>
      </c>
      <c r="I20" s="387">
        <v>30844</v>
      </c>
      <c r="J20" s="965">
        <f t="shared" si="3"/>
        <v>95.946744641801715</v>
      </c>
      <c r="K20" s="145"/>
      <c r="L20" s="394"/>
      <c r="M20" s="394"/>
      <c r="N20" s="1035"/>
      <c r="O20" s="145"/>
      <c r="P20" s="167">
        <f t="shared" si="14"/>
        <v>32147</v>
      </c>
      <c r="Q20" s="167">
        <f t="shared" si="1"/>
        <v>30844</v>
      </c>
      <c r="R20" s="982">
        <f t="shared" si="6"/>
        <v>95.946744641801715</v>
      </c>
    </row>
    <row r="21" spans="2:18" ht="12" customHeight="1" x14ac:dyDescent="0.2">
      <c r="B21" s="172">
        <f t="shared" si="7"/>
        <v>16</v>
      </c>
      <c r="C21" s="142"/>
      <c r="D21" s="143"/>
      <c r="E21" s="127"/>
      <c r="F21" s="143" t="s">
        <v>218</v>
      </c>
      <c r="G21" s="201" t="s">
        <v>341</v>
      </c>
      <c r="H21" s="387">
        <f>SUM(H22:H25)</f>
        <v>35048</v>
      </c>
      <c r="I21" s="387">
        <f t="shared" ref="I21" si="15">SUM(I22:I25)</f>
        <v>33706</v>
      </c>
      <c r="J21" s="965">
        <f t="shared" si="3"/>
        <v>96.170965532983331</v>
      </c>
      <c r="K21" s="145"/>
      <c r="L21" s="394"/>
      <c r="M21" s="394"/>
      <c r="N21" s="1035"/>
      <c r="O21" s="145"/>
      <c r="P21" s="167">
        <f t="shared" si="14"/>
        <v>35048</v>
      </c>
      <c r="Q21" s="167">
        <f t="shared" si="1"/>
        <v>33706</v>
      </c>
      <c r="R21" s="982">
        <f t="shared" si="6"/>
        <v>96.170965532983331</v>
      </c>
    </row>
    <row r="22" spans="2:18" ht="12" customHeight="1" x14ac:dyDescent="0.2">
      <c r="B22" s="172">
        <f t="shared" si="7"/>
        <v>17</v>
      </c>
      <c r="C22" s="126"/>
      <c r="D22" s="127"/>
      <c r="E22" s="127"/>
      <c r="F22" s="127" t="s">
        <v>199</v>
      </c>
      <c r="G22" s="193" t="s">
        <v>319</v>
      </c>
      <c r="H22" s="570">
        <v>24950</v>
      </c>
      <c r="I22" s="570">
        <v>23074</v>
      </c>
      <c r="J22" s="966">
        <f t="shared" si="3"/>
        <v>92.480961923847687</v>
      </c>
      <c r="K22" s="128"/>
      <c r="L22" s="141"/>
      <c r="M22" s="141"/>
      <c r="N22" s="1036"/>
      <c r="O22" s="128"/>
      <c r="P22" s="168">
        <f t="shared" si="14"/>
        <v>24950</v>
      </c>
      <c r="Q22" s="168">
        <f t="shared" si="1"/>
        <v>23074</v>
      </c>
      <c r="R22" s="983">
        <f t="shared" si="6"/>
        <v>92.480961923847687</v>
      </c>
    </row>
    <row r="23" spans="2:18" ht="12" customHeight="1" x14ac:dyDescent="0.2">
      <c r="B23" s="172">
        <f t="shared" si="7"/>
        <v>18</v>
      </c>
      <c r="C23" s="126"/>
      <c r="D23" s="127"/>
      <c r="E23" s="127"/>
      <c r="F23" s="127" t="s">
        <v>200</v>
      </c>
      <c r="G23" s="193" t="s">
        <v>247</v>
      </c>
      <c r="H23" s="570">
        <f>6580+48</f>
        <v>6628</v>
      </c>
      <c r="I23" s="570">
        <v>7037</v>
      </c>
      <c r="J23" s="966">
        <f t="shared" si="3"/>
        <v>106.1707905853953</v>
      </c>
      <c r="K23" s="128"/>
      <c r="L23" s="141"/>
      <c r="M23" s="141"/>
      <c r="N23" s="1036"/>
      <c r="O23" s="128"/>
      <c r="P23" s="168">
        <f t="shared" si="14"/>
        <v>6628</v>
      </c>
      <c r="Q23" s="168">
        <f t="shared" si="1"/>
        <v>7037</v>
      </c>
      <c r="R23" s="983">
        <f t="shared" si="6"/>
        <v>106.1707905853953</v>
      </c>
    </row>
    <row r="24" spans="2:18" ht="12" customHeight="1" x14ac:dyDescent="0.2">
      <c r="B24" s="172">
        <f t="shared" si="7"/>
        <v>19</v>
      </c>
      <c r="C24" s="142"/>
      <c r="D24" s="127"/>
      <c r="E24" s="127"/>
      <c r="F24" s="127" t="s">
        <v>214</v>
      </c>
      <c r="G24" s="193" t="s">
        <v>261</v>
      </c>
      <c r="H24" s="570">
        <f>150+400</f>
        <v>550</v>
      </c>
      <c r="I24" s="570">
        <v>400</v>
      </c>
      <c r="J24" s="966">
        <f t="shared" si="3"/>
        <v>72.727272727272734</v>
      </c>
      <c r="K24" s="145"/>
      <c r="L24" s="141"/>
      <c r="M24" s="141"/>
      <c r="N24" s="1036"/>
      <c r="O24" s="145"/>
      <c r="P24" s="168">
        <f t="shared" si="14"/>
        <v>550</v>
      </c>
      <c r="Q24" s="168">
        <f t="shared" si="1"/>
        <v>400</v>
      </c>
      <c r="R24" s="983">
        <f t="shared" si="6"/>
        <v>72.727272727272734</v>
      </c>
    </row>
    <row r="25" spans="2:18" x14ac:dyDescent="0.2">
      <c r="B25" s="172">
        <f t="shared" si="7"/>
        <v>20</v>
      </c>
      <c r="C25" s="142"/>
      <c r="D25" s="127"/>
      <c r="E25" s="127"/>
      <c r="F25" s="127" t="s">
        <v>216</v>
      </c>
      <c r="G25" s="193" t="s">
        <v>248</v>
      </c>
      <c r="H25" s="570">
        <f>3320-400</f>
        <v>2920</v>
      </c>
      <c r="I25" s="570">
        <v>3195</v>
      </c>
      <c r="J25" s="966">
        <f t="shared" si="3"/>
        <v>109.41780821917808</v>
      </c>
      <c r="K25" s="145"/>
      <c r="L25" s="141"/>
      <c r="M25" s="141"/>
      <c r="N25" s="1036"/>
      <c r="O25" s="145"/>
      <c r="P25" s="168">
        <f t="shared" si="14"/>
        <v>2920</v>
      </c>
      <c r="Q25" s="168">
        <f t="shared" si="1"/>
        <v>3195</v>
      </c>
      <c r="R25" s="983">
        <f t="shared" si="6"/>
        <v>109.41780821917808</v>
      </c>
    </row>
    <row r="26" spans="2:18" x14ac:dyDescent="0.2">
      <c r="B26" s="172">
        <f t="shared" si="7"/>
        <v>21</v>
      </c>
      <c r="C26" s="142"/>
      <c r="D26" s="127"/>
      <c r="E26" s="170"/>
      <c r="F26" s="286" t="s">
        <v>653</v>
      </c>
      <c r="G26" s="201" t="s">
        <v>666</v>
      </c>
      <c r="H26" s="387">
        <v>1240</v>
      </c>
      <c r="I26" s="387">
        <v>344</v>
      </c>
      <c r="J26" s="965">
        <f t="shared" si="3"/>
        <v>27.741935483870968</v>
      </c>
      <c r="K26" s="145"/>
      <c r="L26" s="141"/>
      <c r="M26" s="141"/>
      <c r="N26" s="1036"/>
      <c r="O26" s="145"/>
      <c r="P26" s="167">
        <f t="shared" si="14"/>
        <v>1240</v>
      </c>
      <c r="Q26" s="167">
        <f t="shared" si="1"/>
        <v>344</v>
      </c>
      <c r="R26" s="982">
        <f t="shared" si="6"/>
        <v>27.741935483870968</v>
      </c>
    </row>
    <row r="27" spans="2:18" x14ac:dyDescent="0.2">
      <c r="B27" s="172">
        <f t="shared" si="7"/>
        <v>22</v>
      </c>
      <c r="C27" s="142"/>
      <c r="D27" s="127"/>
      <c r="E27" s="170"/>
      <c r="F27" s="286" t="s">
        <v>433</v>
      </c>
      <c r="G27" s="201" t="s">
        <v>839</v>
      </c>
      <c r="H27" s="387"/>
      <c r="I27" s="387"/>
      <c r="J27" s="965"/>
      <c r="K27" s="145"/>
      <c r="L27" s="394">
        <f>15000-2493</f>
        <v>12507</v>
      </c>
      <c r="M27" s="394">
        <f>550</f>
        <v>550</v>
      </c>
      <c r="N27" s="1035">
        <f t="shared" si="5"/>
        <v>4.3975373790677219</v>
      </c>
      <c r="O27" s="145"/>
      <c r="P27" s="167">
        <f t="shared" si="14"/>
        <v>12507</v>
      </c>
      <c r="Q27" s="167">
        <f t="shared" si="1"/>
        <v>550</v>
      </c>
      <c r="R27" s="982">
        <f t="shared" si="6"/>
        <v>4.3975373790677219</v>
      </c>
    </row>
    <row r="28" spans="2:18" ht="15" x14ac:dyDescent="0.25">
      <c r="B28" s="172">
        <f t="shared" si="7"/>
        <v>23</v>
      </c>
      <c r="C28" s="142"/>
      <c r="D28" s="29" t="s">
        <v>6</v>
      </c>
      <c r="E28" s="175" t="s">
        <v>290</v>
      </c>
      <c r="F28" s="147" t="s">
        <v>343</v>
      </c>
      <c r="G28" s="238"/>
      <c r="H28" s="428">
        <f>SUM(H29:H31)+H36</f>
        <v>122197</v>
      </c>
      <c r="I28" s="428">
        <f t="shared" ref="I28" si="16">SUM(I29:I31)+I36</f>
        <v>122419</v>
      </c>
      <c r="J28" s="965">
        <f t="shared" si="3"/>
        <v>100.18167385451362</v>
      </c>
      <c r="K28" s="335"/>
      <c r="L28" s="432"/>
      <c r="M28" s="432"/>
      <c r="N28" s="1035"/>
      <c r="O28" s="335"/>
      <c r="P28" s="331">
        <f t="shared" si="14"/>
        <v>122197</v>
      </c>
      <c r="Q28" s="331">
        <f t="shared" si="1"/>
        <v>122419</v>
      </c>
      <c r="R28" s="982">
        <f t="shared" si="6"/>
        <v>100.18167385451362</v>
      </c>
    </row>
    <row r="29" spans="2:18" ht="12" customHeight="1" x14ac:dyDescent="0.2">
      <c r="B29" s="172">
        <f t="shared" si="7"/>
        <v>24</v>
      </c>
      <c r="C29" s="142"/>
      <c r="D29" s="143"/>
      <c r="E29" s="143"/>
      <c r="F29" s="143" t="s">
        <v>211</v>
      </c>
      <c r="G29" s="201" t="s">
        <v>506</v>
      </c>
      <c r="H29" s="387">
        <f>63905+3153+1526-216</f>
        <v>68368</v>
      </c>
      <c r="I29" s="387">
        <v>68526</v>
      </c>
      <c r="J29" s="965">
        <f t="shared" si="3"/>
        <v>100.23110227006786</v>
      </c>
      <c r="K29" s="145"/>
      <c r="L29" s="141"/>
      <c r="M29" s="141"/>
      <c r="N29" s="1036"/>
      <c r="O29" s="145"/>
      <c r="P29" s="167">
        <f t="shared" si="14"/>
        <v>68368</v>
      </c>
      <c r="Q29" s="167">
        <f t="shared" si="1"/>
        <v>68526</v>
      </c>
      <c r="R29" s="982">
        <f t="shared" si="6"/>
        <v>100.23110227006786</v>
      </c>
    </row>
    <row r="30" spans="2:18" ht="12" customHeight="1" x14ac:dyDescent="0.2">
      <c r="B30" s="172">
        <f t="shared" si="7"/>
        <v>25</v>
      </c>
      <c r="C30" s="142"/>
      <c r="D30" s="143"/>
      <c r="E30" s="143"/>
      <c r="F30" s="143" t="s">
        <v>212</v>
      </c>
      <c r="G30" s="201" t="s">
        <v>259</v>
      </c>
      <c r="H30" s="387">
        <f>23600+1164+751</f>
        <v>25515</v>
      </c>
      <c r="I30" s="387">
        <v>25325</v>
      </c>
      <c r="J30" s="965">
        <f t="shared" si="3"/>
        <v>99.255339996080735</v>
      </c>
      <c r="K30" s="145"/>
      <c r="L30" s="141"/>
      <c r="M30" s="141"/>
      <c r="N30" s="1036"/>
      <c r="O30" s="145"/>
      <c r="P30" s="167">
        <f t="shared" si="14"/>
        <v>25515</v>
      </c>
      <c r="Q30" s="167">
        <f t="shared" si="1"/>
        <v>25325</v>
      </c>
      <c r="R30" s="982">
        <f t="shared" si="6"/>
        <v>99.255339996080735</v>
      </c>
    </row>
    <row r="31" spans="2:18" ht="12" customHeight="1" x14ac:dyDescent="0.2">
      <c r="B31" s="172">
        <f t="shared" si="7"/>
        <v>26</v>
      </c>
      <c r="C31" s="142"/>
      <c r="D31" s="143"/>
      <c r="E31" s="143"/>
      <c r="F31" s="143" t="s">
        <v>218</v>
      </c>
      <c r="G31" s="201" t="s">
        <v>341</v>
      </c>
      <c r="H31" s="387">
        <f>SUM(H32:H35)</f>
        <v>28098</v>
      </c>
      <c r="I31" s="387">
        <f t="shared" ref="I31" si="17">SUM(I32:I35)</f>
        <v>28320</v>
      </c>
      <c r="J31" s="965">
        <f t="shared" si="3"/>
        <v>100.79009182148195</v>
      </c>
      <c r="K31" s="145"/>
      <c r="L31" s="141"/>
      <c r="M31" s="141"/>
      <c r="N31" s="1036"/>
      <c r="O31" s="145"/>
      <c r="P31" s="167">
        <f t="shared" si="14"/>
        <v>28098</v>
      </c>
      <c r="Q31" s="167">
        <f t="shared" si="1"/>
        <v>28320</v>
      </c>
      <c r="R31" s="982">
        <f t="shared" si="6"/>
        <v>100.79009182148195</v>
      </c>
    </row>
    <row r="32" spans="2:18" ht="12" customHeight="1" x14ac:dyDescent="0.2">
      <c r="B32" s="172">
        <f t="shared" si="7"/>
        <v>27</v>
      </c>
      <c r="C32" s="142"/>
      <c r="D32" s="127"/>
      <c r="E32" s="127"/>
      <c r="F32" s="127" t="s">
        <v>199</v>
      </c>
      <c r="G32" s="193" t="s">
        <v>319</v>
      </c>
      <c r="H32" s="570">
        <v>18600</v>
      </c>
      <c r="I32" s="570">
        <v>17853</v>
      </c>
      <c r="J32" s="966">
        <f t="shared" si="3"/>
        <v>95.983870967741936</v>
      </c>
      <c r="K32" s="145"/>
      <c r="L32" s="141"/>
      <c r="M32" s="141"/>
      <c r="N32" s="1036"/>
      <c r="O32" s="145"/>
      <c r="P32" s="168">
        <f t="shared" si="14"/>
        <v>18600</v>
      </c>
      <c r="Q32" s="168">
        <f t="shared" si="1"/>
        <v>17853</v>
      </c>
      <c r="R32" s="983">
        <f t="shared" si="6"/>
        <v>95.983870967741936</v>
      </c>
    </row>
    <row r="33" spans="2:18" ht="12" customHeight="1" x14ac:dyDescent="0.2">
      <c r="B33" s="172">
        <f t="shared" si="7"/>
        <v>28</v>
      </c>
      <c r="C33" s="142"/>
      <c r="D33" s="127"/>
      <c r="E33" s="127"/>
      <c r="F33" s="127" t="s">
        <v>200</v>
      </c>
      <c r="G33" s="193" t="s">
        <v>247</v>
      </c>
      <c r="H33" s="570">
        <f>6800+228</f>
        <v>7028</v>
      </c>
      <c r="I33" s="570">
        <v>7821</v>
      </c>
      <c r="J33" s="966">
        <f t="shared" si="3"/>
        <v>111.28343767785999</v>
      </c>
      <c r="K33" s="145"/>
      <c r="L33" s="141"/>
      <c r="M33" s="141"/>
      <c r="N33" s="1036"/>
      <c r="O33" s="145"/>
      <c r="P33" s="168">
        <f t="shared" si="14"/>
        <v>7028</v>
      </c>
      <c r="Q33" s="168">
        <f t="shared" si="1"/>
        <v>7821</v>
      </c>
      <c r="R33" s="983">
        <f t="shared" si="6"/>
        <v>111.28343767785999</v>
      </c>
    </row>
    <row r="34" spans="2:18" ht="12" customHeight="1" x14ac:dyDescent="0.2">
      <c r="B34" s="172">
        <f t="shared" si="7"/>
        <v>29</v>
      </c>
      <c r="C34" s="142"/>
      <c r="D34" s="127"/>
      <c r="E34" s="179"/>
      <c r="F34" s="127" t="s">
        <v>214</v>
      </c>
      <c r="G34" s="193" t="s">
        <v>261</v>
      </c>
      <c r="H34" s="570">
        <v>140</v>
      </c>
      <c r="I34" s="570">
        <v>140</v>
      </c>
      <c r="J34" s="966">
        <f t="shared" si="3"/>
        <v>100</v>
      </c>
      <c r="K34" s="145"/>
      <c r="L34" s="141"/>
      <c r="M34" s="141"/>
      <c r="N34" s="1036"/>
      <c r="O34" s="145"/>
      <c r="P34" s="168">
        <f t="shared" si="14"/>
        <v>140</v>
      </c>
      <c r="Q34" s="168">
        <f t="shared" si="1"/>
        <v>140</v>
      </c>
      <c r="R34" s="983">
        <f t="shared" si="6"/>
        <v>100</v>
      </c>
    </row>
    <row r="35" spans="2:18" x14ac:dyDescent="0.2">
      <c r="B35" s="172">
        <f t="shared" si="7"/>
        <v>30</v>
      </c>
      <c r="C35" s="142"/>
      <c r="D35" s="127"/>
      <c r="E35" s="146"/>
      <c r="F35" s="127" t="s">
        <v>216</v>
      </c>
      <c r="G35" s="193" t="s">
        <v>248</v>
      </c>
      <c r="H35" s="570">
        <f>2470-140</f>
        <v>2330</v>
      </c>
      <c r="I35" s="570">
        <v>2506</v>
      </c>
      <c r="J35" s="966">
        <f t="shared" si="3"/>
        <v>107.55364806866953</v>
      </c>
      <c r="K35" s="285"/>
      <c r="L35" s="139"/>
      <c r="M35" s="139"/>
      <c r="N35" s="1037"/>
      <c r="O35" s="285"/>
      <c r="P35" s="169">
        <f t="shared" si="14"/>
        <v>2330</v>
      </c>
      <c r="Q35" s="169">
        <f t="shared" si="1"/>
        <v>2506</v>
      </c>
      <c r="R35" s="986">
        <f t="shared" si="6"/>
        <v>107.55364806866953</v>
      </c>
    </row>
    <row r="36" spans="2:18" x14ac:dyDescent="0.2">
      <c r="B36" s="172">
        <f t="shared" si="7"/>
        <v>31</v>
      </c>
      <c r="C36" s="142"/>
      <c r="D36" s="127"/>
      <c r="E36" s="146"/>
      <c r="F36" s="286" t="s">
        <v>653</v>
      </c>
      <c r="G36" s="201" t="s">
        <v>666</v>
      </c>
      <c r="H36" s="387">
        <v>216</v>
      </c>
      <c r="I36" s="387">
        <v>248</v>
      </c>
      <c r="J36" s="965">
        <f t="shared" si="3"/>
        <v>114.81481481481481</v>
      </c>
      <c r="K36" s="145"/>
      <c r="L36" s="141"/>
      <c r="M36" s="141"/>
      <c r="N36" s="1036"/>
      <c r="O36" s="145"/>
      <c r="P36" s="167">
        <f t="shared" ref="P36" si="18">H36+L36</f>
        <v>216</v>
      </c>
      <c r="Q36" s="167">
        <f t="shared" si="1"/>
        <v>248</v>
      </c>
      <c r="R36" s="982">
        <f t="shared" si="6"/>
        <v>114.81481481481481</v>
      </c>
    </row>
    <row r="37" spans="2:18" ht="15" x14ac:dyDescent="0.25">
      <c r="B37" s="172">
        <f t="shared" si="7"/>
        <v>32</v>
      </c>
      <c r="C37" s="142"/>
      <c r="D37" s="29" t="s">
        <v>7</v>
      </c>
      <c r="E37" s="266" t="s">
        <v>290</v>
      </c>
      <c r="F37" s="267" t="s">
        <v>344</v>
      </c>
      <c r="G37" s="268"/>
      <c r="H37" s="429">
        <f>SUM(H38:H40)+H45</f>
        <v>159655</v>
      </c>
      <c r="I37" s="429">
        <f t="shared" ref="I37" si="19">SUM(I38:I40)+I45</f>
        <v>156455</v>
      </c>
      <c r="J37" s="995">
        <f t="shared" si="3"/>
        <v>97.995678181077949</v>
      </c>
      <c r="K37" s="335"/>
      <c r="L37" s="437"/>
      <c r="M37" s="437"/>
      <c r="N37" s="1037"/>
      <c r="O37" s="335"/>
      <c r="P37" s="344">
        <f t="shared" si="14"/>
        <v>159655</v>
      </c>
      <c r="Q37" s="344">
        <f t="shared" si="1"/>
        <v>156455</v>
      </c>
      <c r="R37" s="1001">
        <f t="shared" si="6"/>
        <v>97.995678181077949</v>
      </c>
    </row>
    <row r="38" spans="2:18" ht="12" customHeight="1" x14ac:dyDescent="0.2">
      <c r="B38" s="172">
        <f t="shared" si="7"/>
        <v>33</v>
      </c>
      <c r="C38" s="142"/>
      <c r="D38" s="143"/>
      <c r="E38" s="143"/>
      <c r="F38" s="143" t="s">
        <v>211</v>
      </c>
      <c r="G38" s="201" t="s">
        <v>506</v>
      </c>
      <c r="H38" s="387">
        <f>87030+4268-8523-840</f>
        <v>81935</v>
      </c>
      <c r="I38" s="387">
        <v>82639</v>
      </c>
      <c r="J38" s="965">
        <f t="shared" si="3"/>
        <v>100.85921767254531</v>
      </c>
      <c r="K38" s="145"/>
      <c r="L38" s="139"/>
      <c r="M38" s="139"/>
      <c r="N38" s="1037"/>
      <c r="O38" s="145"/>
      <c r="P38" s="167">
        <f t="shared" si="14"/>
        <v>81935</v>
      </c>
      <c r="Q38" s="167">
        <f t="shared" si="1"/>
        <v>82639</v>
      </c>
      <c r="R38" s="982">
        <f t="shared" si="6"/>
        <v>100.85921767254531</v>
      </c>
    </row>
    <row r="39" spans="2:18" ht="12" customHeight="1" x14ac:dyDescent="0.2">
      <c r="B39" s="172">
        <f t="shared" si="7"/>
        <v>34</v>
      </c>
      <c r="C39" s="142"/>
      <c r="D39" s="143"/>
      <c r="E39" s="143"/>
      <c r="F39" s="143" t="s">
        <v>212</v>
      </c>
      <c r="G39" s="201" t="s">
        <v>259</v>
      </c>
      <c r="H39" s="387">
        <f>32293+1582-3591-330</f>
        <v>29954</v>
      </c>
      <c r="I39" s="387">
        <v>30052</v>
      </c>
      <c r="J39" s="965">
        <f t="shared" si="3"/>
        <v>100.32716832476464</v>
      </c>
      <c r="K39" s="145"/>
      <c r="L39" s="141"/>
      <c r="M39" s="141"/>
      <c r="N39" s="1036"/>
      <c r="O39" s="145"/>
      <c r="P39" s="167">
        <f t="shared" si="14"/>
        <v>29954</v>
      </c>
      <c r="Q39" s="167">
        <f t="shared" si="1"/>
        <v>30052</v>
      </c>
      <c r="R39" s="982">
        <f t="shared" si="6"/>
        <v>100.32716832476464</v>
      </c>
    </row>
    <row r="40" spans="2:18" ht="12" customHeight="1" x14ac:dyDescent="0.2">
      <c r="B40" s="172">
        <f t="shared" si="7"/>
        <v>35</v>
      </c>
      <c r="C40" s="142"/>
      <c r="D40" s="143"/>
      <c r="E40" s="143"/>
      <c r="F40" s="143" t="s">
        <v>218</v>
      </c>
      <c r="G40" s="201" t="s">
        <v>341</v>
      </c>
      <c r="H40" s="387">
        <f>SUM(H41:H44)</f>
        <v>45666</v>
      </c>
      <c r="I40" s="387">
        <f t="shared" ref="I40" si="20">SUM(I41:I44)</f>
        <v>42466</v>
      </c>
      <c r="J40" s="965">
        <f t="shared" si="3"/>
        <v>92.992598432093899</v>
      </c>
      <c r="K40" s="145"/>
      <c r="L40" s="141"/>
      <c r="M40" s="141"/>
      <c r="N40" s="1036"/>
      <c r="O40" s="145"/>
      <c r="P40" s="167">
        <f t="shared" si="14"/>
        <v>45666</v>
      </c>
      <c r="Q40" s="167">
        <f t="shared" si="1"/>
        <v>42466</v>
      </c>
      <c r="R40" s="982">
        <f t="shared" si="6"/>
        <v>92.992598432093899</v>
      </c>
    </row>
    <row r="41" spans="2:18" ht="12" customHeight="1" x14ac:dyDescent="0.2">
      <c r="B41" s="172">
        <f t="shared" si="7"/>
        <v>36</v>
      </c>
      <c r="C41" s="142"/>
      <c r="D41" s="127"/>
      <c r="E41" s="127"/>
      <c r="F41" s="127" t="s">
        <v>199</v>
      </c>
      <c r="G41" s="193" t="s">
        <v>319</v>
      </c>
      <c r="H41" s="570">
        <v>34250</v>
      </c>
      <c r="I41" s="570">
        <v>31905</v>
      </c>
      <c r="J41" s="966">
        <f t="shared" si="3"/>
        <v>93.153284671532845</v>
      </c>
      <c r="K41" s="145"/>
      <c r="L41" s="141"/>
      <c r="M41" s="141"/>
      <c r="N41" s="1036"/>
      <c r="O41" s="145"/>
      <c r="P41" s="168">
        <f t="shared" si="14"/>
        <v>34250</v>
      </c>
      <c r="Q41" s="168">
        <f t="shared" si="1"/>
        <v>31905</v>
      </c>
      <c r="R41" s="983">
        <f t="shared" si="6"/>
        <v>93.153284671532845</v>
      </c>
    </row>
    <row r="42" spans="2:18" ht="12" customHeight="1" x14ac:dyDescent="0.2">
      <c r="B42" s="172">
        <f t="shared" si="7"/>
        <v>37</v>
      </c>
      <c r="C42" s="142"/>
      <c r="D42" s="127"/>
      <c r="E42" s="127"/>
      <c r="F42" s="127" t="s">
        <v>200</v>
      </c>
      <c r="G42" s="193" t="s">
        <v>247</v>
      </c>
      <c r="H42" s="570">
        <f>4930+2166</f>
        <v>7096</v>
      </c>
      <c r="I42" s="570">
        <v>6881</v>
      </c>
      <c r="J42" s="966">
        <f t="shared" si="3"/>
        <v>96.970124013528746</v>
      </c>
      <c r="K42" s="145"/>
      <c r="L42" s="141"/>
      <c r="M42" s="141"/>
      <c r="N42" s="1036"/>
      <c r="O42" s="145"/>
      <c r="P42" s="168">
        <f t="shared" si="14"/>
        <v>7096</v>
      </c>
      <c r="Q42" s="168">
        <f t="shared" si="1"/>
        <v>6881</v>
      </c>
      <c r="R42" s="983">
        <f t="shared" si="6"/>
        <v>96.970124013528746</v>
      </c>
    </row>
    <row r="43" spans="2:18" ht="12" customHeight="1" x14ac:dyDescent="0.2">
      <c r="B43" s="172">
        <f t="shared" si="7"/>
        <v>38</v>
      </c>
      <c r="C43" s="142"/>
      <c r="D43" s="127"/>
      <c r="E43" s="146"/>
      <c r="F43" s="127" t="s">
        <v>214</v>
      </c>
      <c r="G43" s="193" t="s">
        <v>261</v>
      </c>
      <c r="H43" s="570">
        <f>150+1000</f>
        <v>1150</v>
      </c>
      <c r="I43" s="570">
        <v>1100</v>
      </c>
      <c r="J43" s="966">
        <f t="shared" si="3"/>
        <v>95.652173913043484</v>
      </c>
      <c r="K43" s="145"/>
      <c r="L43" s="141"/>
      <c r="M43" s="141"/>
      <c r="N43" s="1036"/>
      <c r="O43" s="145"/>
      <c r="P43" s="168">
        <f t="shared" si="14"/>
        <v>1150</v>
      </c>
      <c r="Q43" s="168">
        <f t="shared" si="1"/>
        <v>1100</v>
      </c>
      <c r="R43" s="983">
        <f t="shared" si="6"/>
        <v>95.652173913043484</v>
      </c>
    </row>
    <row r="44" spans="2:18" x14ac:dyDescent="0.2">
      <c r="B44" s="172">
        <f t="shared" si="7"/>
        <v>39</v>
      </c>
      <c r="C44" s="142"/>
      <c r="D44" s="127"/>
      <c r="E44" s="146"/>
      <c r="F44" s="127" t="s">
        <v>216</v>
      </c>
      <c r="G44" s="193" t="s">
        <v>248</v>
      </c>
      <c r="H44" s="570">
        <v>3170</v>
      </c>
      <c r="I44" s="570">
        <v>2580</v>
      </c>
      <c r="J44" s="966">
        <f t="shared" si="3"/>
        <v>81.388012618296528</v>
      </c>
      <c r="K44" s="145"/>
      <c r="L44" s="141"/>
      <c r="M44" s="141"/>
      <c r="N44" s="1036"/>
      <c r="O44" s="145"/>
      <c r="P44" s="168">
        <f t="shared" si="14"/>
        <v>3170</v>
      </c>
      <c r="Q44" s="168">
        <f t="shared" si="1"/>
        <v>2580</v>
      </c>
      <c r="R44" s="983">
        <f t="shared" si="6"/>
        <v>81.388012618296528</v>
      </c>
    </row>
    <row r="45" spans="2:18" x14ac:dyDescent="0.2">
      <c r="B45" s="172">
        <f t="shared" si="7"/>
        <v>40</v>
      </c>
      <c r="C45" s="142"/>
      <c r="D45" s="127"/>
      <c r="E45" s="146"/>
      <c r="F45" s="286" t="s">
        <v>653</v>
      </c>
      <c r="G45" s="201" t="s">
        <v>666</v>
      </c>
      <c r="H45" s="387">
        <v>2100</v>
      </c>
      <c r="I45" s="387">
        <v>1298</v>
      </c>
      <c r="J45" s="965">
        <f t="shared" si="3"/>
        <v>61.809523809523817</v>
      </c>
      <c r="K45" s="145"/>
      <c r="L45" s="141"/>
      <c r="M45" s="141"/>
      <c r="N45" s="1036"/>
      <c r="O45" s="145"/>
      <c r="P45" s="167">
        <f t="shared" si="14"/>
        <v>2100</v>
      </c>
      <c r="Q45" s="167">
        <f t="shared" si="1"/>
        <v>1298</v>
      </c>
      <c r="R45" s="982">
        <f t="shared" si="6"/>
        <v>61.809523809523817</v>
      </c>
    </row>
    <row r="46" spans="2:18" ht="15" x14ac:dyDescent="0.25">
      <c r="B46" s="172">
        <f t="shared" si="7"/>
        <v>41</v>
      </c>
      <c r="C46" s="142"/>
      <c r="D46" s="29" t="s">
        <v>8</v>
      </c>
      <c r="E46" s="175" t="s">
        <v>290</v>
      </c>
      <c r="F46" s="147" t="s">
        <v>345</v>
      </c>
      <c r="G46" s="238"/>
      <c r="H46" s="427">
        <f>SUM(H47:H49)+H55</f>
        <v>147344</v>
      </c>
      <c r="I46" s="427">
        <f t="shared" ref="I46" si="21">SUM(I47:I49)+I55</f>
        <v>152546</v>
      </c>
      <c r="J46" s="965">
        <f t="shared" si="3"/>
        <v>103.53051362797262</v>
      </c>
      <c r="K46" s="335"/>
      <c r="L46" s="432"/>
      <c r="M46" s="432"/>
      <c r="N46" s="1035"/>
      <c r="O46" s="335"/>
      <c r="P46" s="331">
        <f t="shared" ref="P46:P120" si="22">H46+L46</f>
        <v>147344</v>
      </c>
      <c r="Q46" s="331">
        <f t="shared" si="1"/>
        <v>152546</v>
      </c>
      <c r="R46" s="982">
        <f t="shared" si="6"/>
        <v>103.53051362797262</v>
      </c>
    </row>
    <row r="47" spans="2:18" ht="12" customHeight="1" x14ac:dyDescent="0.2">
      <c r="B47" s="172">
        <f t="shared" si="7"/>
        <v>42</v>
      </c>
      <c r="C47" s="142"/>
      <c r="D47" s="143"/>
      <c r="E47" s="143"/>
      <c r="F47" s="143" t="s">
        <v>211</v>
      </c>
      <c r="G47" s="201" t="s">
        <v>506</v>
      </c>
      <c r="H47" s="387">
        <f>80010+3917-4898</f>
        <v>79029</v>
      </c>
      <c r="I47" s="387">
        <v>80380</v>
      </c>
      <c r="J47" s="965">
        <f t="shared" si="3"/>
        <v>101.70949904465449</v>
      </c>
      <c r="K47" s="145"/>
      <c r="L47" s="141"/>
      <c r="M47" s="141"/>
      <c r="N47" s="1036"/>
      <c r="O47" s="145"/>
      <c r="P47" s="167">
        <f t="shared" si="22"/>
        <v>79029</v>
      </c>
      <c r="Q47" s="167">
        <f t="shared" si="1"/>
        <v>80380</v>
      </c>
      <c r="R47" s="982">
        <f t="shared" si="6"/>
        <v>101.70949904465449</v>
      </c>
    </row>
    <row r="48" spans="2:18" ht="12" customHeight="1" x14ac:dyDescent="0.2">
      <c r="B48" s="172">
        <f t="shared" si="7"/>
        <v>43</v>
      </c>
      <c r="C48" s="142"/>
      <c r="D48" s="143"/>
      <c r="E48" s="143"/>
      <c r="F48" s="143" t="s">
        <v>212</v>
      </c>
      <c r="G48" s="201" t="s">
        <v>259</v>
      </c>
      <c r="H48" s="387">
        <f>29589+1446-1437</f>
        <v>29598</v>
      </c>
      <c r="I48" s="387">
        <v>29137</v>
      </c>
      <c r="J48" s="965">
        <f t="shared" si="3"/>
        <v>98.442462328535711</v>
      </c>
      <c r="K48" s="145"/>
      <c r="L48" s="141"/>
      <c r="M48" s="141"/>
      <c r="N48" s="1036"/>
      <c r="O48" s="145"/>
      <c r="P48" s="167">
        <f t="shared" si="22"/>
        <v>29598</v>
      </c>
      <c r="Q48" s="167">
        <f t="shared" si="1"/>
        <v>29137</v>
      </c>
      <c r="R48" s="982">
        <f t="shared" si="6"/>
        <v>98.442462328535711</v>
      </c>
    </row>
    <row r="49" spans="2:18" ht="12" customHeight="1" x14ac:dyDescent="0.2">
      <c r="B49" s="172">
        <f t="shared" si="7"/>
        <v>44</v>
      </c>
      <c r="C49" s="142"/>
      <c r="D49" s="143"/>
      <c r="E49" s="143"/>
      <c r="F49" s="143" t="s">
        <v>218</v>
      </c>
      <c r="G49" s="201" t="s">
        <v>341</v>
      </c>
      <c r="H49" s="387">
        <f>SUM(H50:H54)</f>
        <v>37397</v>
      </c>
      <c r="I49" s="387">
        <f t="shared" ref="I49" si="23">SUM(I50:I54)</f>
        <v>42598</v>
      </c>
      <c r="J49" s="965">
        <f t="shared" si="3"/>
        <v>113.90753268978796</v>
      </c>
      <c r="K49" s="145"/>
      <c r="L49" s="141"/>
      <c r="M49" s="141"/>
      <c r="N49" s="1036"/>
      <c r="O49" s="145"/>
      <c r="P49" s="167">
        <f t="shared" si="22"/>
        <v>37397</v>
      </c>
      <c r="Q49" s="167">
        <f t="shared" si="1"/>
        <v>42598</v>
      </c>
      <c r="R49" s="982">
        <f t="shared" si="6"/>
        <v>113.90753268978796</v>
      </c>
    </row>
    <row r="50" spans="2:18" ht="12" customHeight="1" x14ac:dyDescent="0.2">
      <c r="B50" s="172">
        <f t="shared" si="7"/>
        <v>45</v>
      </c>
      <c r="C50" s="142"/>
      <c r="D50" s="127"/>
      <c r="E50" s="127"/>
      <c r="F50" s="127" t="s">
        <v>199</v>
      </c>
      <c r="G50" s="193" t="s">
        <v>319</v>
      </c>
      <c r="H50" s="570">
        <v>24800</v>
      </c>
      <c r="I50" s="570">
        <v>30271</v>
      </c>
      <c r="J50" s="966">
        <f t="shared" si="3"/>
        <v>122.06048387096774</v>
      </c>
      <c r="K50" s="145"/>
      <c r="L50" s="141"/>
      <c r="M50" s="141"/>
      <c r="N50" s="1036"/>
      <c r="O50" s="145"/>
      <c r="P50" s="168">
        <f t="shared" si="22"/>
        <v>24800</v>
      </c>
      <c r="Q50" s="168">
        <f t="shared" si="1"/>
        <v>30271</v>
      </c>
      <c r="R50" s="983">
        <f t="shared" si="6"/>
        <v>122.06048387096774</v>
      </c>
    </row>
    <row r="51" spans="2:18" ht="12" customHeight="1" x14ac:dyDescent="0.2">
      <c r="B51" s="172">
        <f t="shared" si="7"/>
        <v>46</v>
      </c>
      <c r="C51" s="142"/>
      <c r="D51" s="127"/>
      <c r="E51" s="127"/>
      <c r="F51" s="127" t="s">
        <v>200</v>
      </c>
      <c r="G51" s="193" t="s">
        <v>247</v>
      </c>
      <c r="H51" s="570">
        <f>6690-500+707</f>
        <v>6897</v>
      </c>
      <c r="I51" s="570">
        <v>6400</v>
      </c>
      <c r="J51" s="966">
        <f t="shared" si="3"/>
        <v>92.793968392054509</v>
      </c>
      <c r="K51" s="145"/>
      <c r="L51" s="141"/>
      <c r="M51" s="141"/>
      <c r="N51" s="1036"/>
      <c r="O51" s="145"/>
      <c r="P51" s="168">
        <f t="shared" si="22"/>
        <v>6897</v>
      </c>
      <c r="Q51" s="168">
        <f t="shared" si="1"/>
        <v>6400</v>
      </c>
      <c r="R51" s="983">
        <f t="shared" si="6"/>
        <v>92.793968392054509</v>
      </c>
    </row>
    <row r="52" spans="2:18" ht="12" customHeight="1" x14ac:dyDescent="0.2">
      <c r="B52" s="172">
        <f t="shared" si="7"/>
        <v>47</v>
      </c>
      <c r="C52" s="142"/>
      <c r="D52" s="127"/>
      <c r="E52" s="179"/>
      <c r="F52" s="127" t="s">
        <v>214</v>
      </c>
      <c r="G52" s="193" t="s">
        <v>261</v>
      </c>
      <c r="H52" s="570">
        <f>1000+1000</f>
        <v>2000</v>
      </c>
      <c r="I52" s="570">
        <v>2050</v>
      </c>
      <c r="J52" s="966">
        <f t="shared" si="3"/>
        <v>102.49999999999999</v>
      </c>
      <c r="K52" s="145"/>
      <c r="L52" s="141"/>
      <c r="M52" s="141"/>
      <c r="N52" s="1036"/>
      <c r="O52" s="145"/>
      <c r="P52" s="168">
        <f t="shared" si="22"/>
        <v>2000</v>
      </c>
      <c r="Q52" s="168">
        <f t="shared" si="1"/>
        <v>2050</v>
      </c>
      <c r="R52" s="983">
        <f t="shared" si="6"/>
        <v>102.49999999999999</v>
      </c>
    </row>
    <row r="53" spans="2:18" x14ac:dyDescent="0.2">
      <c r="B53" s="172">
        <f t="shared" si="7"/>
        <v>48</v>
      </c>
      <c r="C53" s="142"/>
      <c r="D53" s="127"/>
      <c r="E53" s="146"/>
      <c r="F53" s="127" t="s">
        <v>216</v>
      </c>
      <c r="G53" s="193" t="s">
        <v>248</v>
      </c>
      <c r="H53" s="570">
        <f>3200-500</f>
        <v>2700</v>
      </c>
      <c r="I53" s="570">
        <v>2877</v>
      </c>
      <c r="J53" s="966">
        <f t="shared" si="3"/>
        <v>106.55555555555556</v>
      </c>
      <c r="K53" s="145"/>
      <c r="L53" s="141"/>
      <c r="M53" s="141"/>
      <c r="N53" s="1036"/>
      <c r="O53" s="145"/>
      <c r="P53" s="168">
        <f t="shared" si="22"/>
        <v>2700</v>
      </c>
      <c r="Q53" s="168">
        <f t="shared" ref="Q53:Q81" si="24">I53+M53</f>
        <v>2877</v>
      </c>
      <c r="R53" s="983">
        <f t="shared" si="6"/>
        <v>106.55555555555556</v>
      </c>
    </row>
    <row r="54" spans="2:18" x14ac:dyDescent="0.2">
      <c r="B54" s="172">
        <f t="shared" si="7"/>
        <v>49</v>
      </c>
      <c r="C54" s="142"/>
      <c r="D54" s="127"/>
      <c r="E54" s="146"/>
      <c r="F54" s="774" t="s">
        <v>214</v>
      </c>
      <c r="G54" s="757" t="s">
        <v>806</v>
      </c>
      <c r="H54" s="758">
        <v>1000</v>
      </c>
      <c r="I54" s="758">
        <v>1000</v>
      </c>
      <c r="J54" s="966">
        <f t="shared" si="3"/>
        <v>100</v>
      </c>
      <c r="K54" s="775"/>
      <c r="L54" s="776"/>
      <c r="M54" s="776"/>
      <c r="N54" s="1036"/>
      <c r="O54" s="775"/>
      <c r="P54" s="777">
        <f t="shared" si="22"/>
        <v>1000</v>
      </c>
      <c r="Q54" s="777">
        <f t="shared" si="24"/>
        <v>1000</v>
      </c>
      <c r="R54" s="983">
        <f t="shared" si="6"/>
        <v>100</v>
      </c>
    </row>
    <row r="55" spans="2:18" x14ac:dyDescent="0.2">
      <c r="B55" s="172">
        <f t="shared" si="7"/>
        <v>50</v>
      </c>
      <c r="C55" s="142"/>
      <c r="D55" s="127"/>
      <c r="E55" s="146"/>
      <c r="F55" s="286" t="s">
        <v>653</v>
      </c>
      <c r="G55" s="201" t="s">
        <v>666</v>
      </c>
      <c r="H55" s="387">
        <v>1320</v>
      </c>
      <c r="I55" s="387">
        <v>431</v>
      </c>
      <c r="J55" s="965">
        <f t="shared" si="3"/>
        <v>32.651515151515156</v>
      </c>
      <c r="K55" s="145"/>
      <c r="L55" s="141"/>
      <c r="M55" s="141"/>
      <c r="N55" s="1036"/>
      <c r="O55" s="145"/>
      <c r="P55" s="167">
        <f t="shared" si="22"/>
        <v>1320</v>
      </c>
      <c r="Q55" s="167">
        <f t="shared" si="24"/>
        <v>431</v>
      </c>
      <c r="R55" s="982">
        <f t="shared" si="6"/>
        <v>32.651515151515156</v>
      </c>
    </row>
    <row r="56" spans="2:18" ht="15" x14ac:dyDescent="0.25">
      <c r="B56" s="172">
        <f t="shared" si="7"/>
        <v>51</v>
      </c>
      <c r="C56" s="142"/>
      <c r="D56" s="29" t="s">
        <v>169</v>
      </c>
      <c r="E56" s="175" t="s">
        <v>290</v>
      </c>
      <c r="F56" s="147" t="s">
        <v>346</v>
      </c>
      <c r="G56" s="238"/>
      <c r="H56" s="427">
        <f>SUM(H57:H59)+H64</f>
        <v>225269</v>
      </c>
      <c r="I56" s="427">
        <f t="shared" ref="I56" si="25">SUM(I57:I59)+I64</f>
        <v>231047</v>
      </c>
      <c r="J56" s="965">
        <f t="shared" si="3"/>
        <v>102.5649334795289</v>
      </c>
      <c r="K56" s="335"/>
      <c r="L56" s="432">
        <f>L65</f>
        <v>1882</v>
      </c>
      <c r="M56" s="432">
        <f t="shared" ref="M56" si="26">M65</f>
        <v>1882</v>
      </c>
      <c r="N56" s="1035">
        <f t="shared" si="5"/>
        <v>100</v>
      </c>
      <c r="O56" s="335"/>
      <c r="P56" s="331">
        <f t="shared" si="22"/>
        <v>227151</v>
      </c>
      <c r="Q56" s="331">
        <f t="shared" si="24"/>
        <v>232929</v>
      </c>
      <c r="R56" s="982">
        <f t="shared" si="6"/>
        <v>102.54368239629146</v>
      </c>
    </row>
    <row r="57" spans="2:18" ht="12" customHeight="1" x14ac:dyDescent="0.2">
      <c r="B57" s="172">
        <f t="shared" si="7"/>
        <v>52</v>
      </c>
      <c r="C57" s="142"/>
      <c r="D57" s="143"/>
      <c r="E57" s="143"/>
      <c r="F57" s="143" t="s">
        <v>211</v>
      </c>
      <c r="G57" s="201" t="s">
        <v>506</v>
      </c>
      <c r="H57" s="387">
        <f>113520+5592+3538</f>
        <v>122650</v>
      </c>
      <c r="I57" s="387">
        <v>124402</v>
      </c>
      <c r="J57" s="965">
        <f t="shared" si="3"/>
        <v>101.42845495311863</v>
      </c>
      <c r="K57" s="145"/>
      <c r="L57" s="141"/>
      <c r="M57" s="141"/>
      <c r="N57" s="1036"/>
      <c r="O57" s="145"/>
      <c r="P57" s="167">
        <f t="shared" si="22"/>
        <v>122650</v>
      </c>
      <c r="Q57" s="167">
        <f t="shared" si="24"/>
        <v>124402</v>
      </c>
      <c r="R57" s="982">
        <f t="shared" si="6"/>
        <v>101.42845495311863</v>
      </c>
    </row>
    <row r="58" spans="2:18" ht="12" customHeight="1" x14ac:dyDescent="0.2">
      <c r="B58" s="172">
        <f t="shared" si="7"/>
        <v>53</v>
      </c>
      <c r="C58" s="142"/>
      <c r="D58" s="143"/>
      <c r="E58" s="143"/>
      <c r="F58" s="143" t="s">
        <v>212</v>
      </c>
      <c r="G58" s="201" t="s">
        <v>259</v>
      </c>
      <c r="H58" s="387">
        <f>41375+2036+2437</f>
        <v>45848</v>
      </c>
      <c r="I58" s="387">
        <v>45603</v>
      </c>
      <c r="J58" s="965">
        <f t="shared" si="3"/>
        <v>99.465625545280062</v>
      </c>
      <c r="K58" s="145"/>
      <c r="L58" s="141"/>
      <c r="M58" s="141"/>
      <c r="N58" s="1036"/>
      <c r="O58" s="145"/>
      <c r="P58" s="167">
        <f t="shared" si="22"/>
        <v>45848</v>
      </c>
      <c r="Q58" s="167">
        <f t="shared" si="24"/>
        <v>45603</v>
      </c>
      <c r="R58" s="982">
        <f t="shared" si="6"/>
        <v>99.465625545280062</v>
      </c>
    </row>
    <row r="59" spans="2:18" ht="12" customHeight="1" x14ac:dyDescent="0.2">
      <c r="B59" s="172">
        <f t="shared" si="7"/>
        <v>54</v>
      </c>
      <c r="C59" s="142"/>
      <c r="D59" s="143"/>
      <c r="E59" s="143"/>
      <c r="F59" s="143" t="s">
        <v>218</v>
      </c>
      <c r="G59" s="201" t="s">
        <v>341</v>
      </c>
      <c r="H59" s="387">
        <f>SUM(H60:H63)</f>
        <v>54751</v>
      </c>
      <c r="I59" s="387">
        <f t="shared" ref="I59" si="27">SUM(I60:I63)</f>
        <v>60529</v>
      </c>
      <c r="J59" s="965">
        <f t="shared" si="3"/>
        <v>110.55323190444011</v>
      </c>
      <c r="K59" s="145"/>
      <c r="L59" s="141"/>
      <c r="M59" s="141"/>
      <c r="N59" s="1036"/>
      <c r="O59" s="145"/>
      <c r="P59" s="167">
        <f t="shared" si="22"/>
        <v>54751</v>
      </c>
      <c r="Q59" s="167">
        <f t="shared" si="24"/>
        <v>60529</v>
      </c>
      <c r="R59" s="982">
        <f t="shared" si="6"/>
        <v>110.55323190444011</v>
      </c>
    </row>
    <row r="60" spans="2:18" ht="12" customHeight="1" x14ac:dyDescent="0.2">
      <c r="B60" s="172">
        <f t="shared" si="7"/>
        <v>55</v>
      </c>
      <c r="C60" s="142"/>
      <c r="D60" s="127"/>
      <c r="E60" s="127"/>
      <c r="F60" s="127" t="s">
        <v>199</v>
      </c>
      <c r="G60" s="193" t="s">
        <v>319</v>
      </c>
      <c r="H60" s="570">
        <v>38850</v>
      </c>
      <c r="I60" s="570">
        <v>43058</v>
      </c>
      <c r="J60" s="966">
        <f t="shared" si="3"/>
        <v>110.83140283140283</v>
      </c>
      <c r="K60" s="145"/>
      <c r="L60" s="141"/>
      <c r="M60" s="141"/>
      <c r="N60" s="1036"/>
      <c r="O60" s="145"/>
      <c r="P60" s="168">
        <f t="shared" si="22"/>
        <v>38850</v>
      </c>
      <c r="Q60" s="168">
        <f t="shared" si="24"/>
        <v>43058</v>
      </c>
      <c r="R60" s="983">
        <f t="shared" si="6"/>
        <v>110.83140283140283</v>
      </c>
    </row>
    <row r="61" spans="2:18" ht="12" customHeight="1" x14ac:dyDescent="0.2">
      <c r="B61" s="172">
        <f t="shared" si="7"/>
        <v>56</v>
      </c>
      <c r="C61" s="142"/>
      <c r="D61" s="127"/>
      <c r="E61" s="127"/>
      <c r="F61" s="127" t="s">
        <v>200</v>
      </c>
      <c r="G61" s="193" t="s">
        <v>247</v>
      </c>
      <c r="H61" s="570">
        <f>8420+1100+1731</f>
        <v>11251</v>
      </c>
      <c r="I61" s="570">
        <v>12373</v>
      </c>
      <c r="J61" s="966">
        <f t="shared" si="3"/>
        <v>109.97244689360946</v>
      </c>
      <c r="K61" s="145"/>
      <c r="L61" s="141"/>
      <c r="M61" s="141"/>
      <c r="N61" s="1036"/>
      <c r="O61" s="145"/>
      <c r="P61" s="168">
        <f t="shared" si="22"/>
        <v>11251</v>
      </c>
      <c r="Q61" s="168">
        <f t="shared" si="24"/>
        <v>12373</v>
      </c>
      <c r="R61" s="983">
        <f t="shared" si="6"/>
        <v>109.97244689360946</v>
      </c>
    </row>
    <row r="62" spans="2:18" ht="12" customHeight="1" x14ac:dyDescent="0.2">
      <c r="B62" s="172">
        <f t="shared" si="7"/>
        <v>57</v>
      </c>
      <c r="C62" s="142"/>
      <c r="D62" s="127"/>
      <c r="E62" s="179"/>
      <c r="F62" s="127" t="s">
        <v>214</v>
      </c>
      <c r="G62" s="193" t="s">
        <v>261</v>
      </c>
      <c r="H62" s="570">
        <v>790</v>
      </c>
      <c r="I62" s="570">
        <v>790</v>
      </c>
      <c r="J62" s="966">
        <f t="shared" si="3"/>
        <v>100</v>
      </c>
      <c r="K62" s="145"/>
      <c r="L62" s="141"/>
      <c r="M62" s="141"/>
      <c r="N62" s="1036"/>
      <c r="O62" s="145"/>
      <c r="P62" s="168">
        <f t="shared" si="22"/>
        <v>790</v>
      </c>
      <c r="Q62" s="168">
        <f t="shared" si="24"/>
        <v>790</v>
      </c>
      <c r="R62" s="983">
        <f t="shared" si="6"/>
        <v>100</v>
      </c>
    </row>
    <row r="63" spans="2:18" x14ac:dyDescent="0.2">
      <c r="B63" s="172">
        <f t="shared" si="7"/>
        <v>58</v>
      </c>
      <c r="C63" s="142"/>
      <c r="D63" s="127"/>
      <c r="E63" s="146"/>
      <c r="F63" s="127" t="s">
        <v>216</v>
      </c>
      <c r="G63" s="193" t="s">
        <v>248</v>
      </c>
      <c r="H63" s="570">
        <f>4650-790</f>
        <v>3860</v>
      </c>
      <c r="I63" s="570">
        <v>4308</v>
      </c>
      <c r="J63" s="966">
        <f t="shared" si="3"/>
        <v>111.60621761658032</v>
      </c>
      <c r="K63" s="145"/>
      <c r="L63" s="141"/>
      <c r="M63" s="141"/>
      <c r="N63" s="1036"/>
      <c r="O63" s="145"/>
      <c r="P63" s="168">
        <f t="shared" si="22"/>
        <v>3860</v>
      </c>
      <c r="Q63" s="168">
        <f t="shared" si="24"/>
        <v>4308</v>
      </c>
      <c r="R63" s="983">
        <f t="shared" si="6"/>
        <v>111.60621761658032</v>
      </c>
    </row>
    <row r="64" spans="2:18" x14ac:dyDescent="0.2">
      <c r="B64" s="172">
        <f t="shared" si="7"/>
        <v>59</v>
      </c>
      <c r="C64" s="142"/>
      <c r="D64" s="127"/>
      <c r="E64" s="146"/>
      <c r="F64" s="286" t="s">
        <v>653</v>
      </c>
      <c r="G64" s="201" t="s">
        <v>666</v>
      </c>
      <c r="H64" s="387">
        <v>2020</v>
      </c>
      <c r="I64" s="387">
        <v>513</v>
      </c>
      <c r="J64" s="965">
        <f t="shared" si="3"/>
        <v>25.396039603960396</v>
      </c>
      <c r="K64" s="145"/>
      <c r="L64" s="141"/>
      <c r="M64" s="141"/>
      <c r="N64" s="1036"/>
      <c r="O64" s="145"/>
      <c r="P64" s="167">
        <f t="shared" si="22"/>
        <v>2020</v>
      </c>
      <c r="Q64" s="167">
        <f t="shared" si="24"/>
        <v>513</v>
      </c>
      <c r="R64" s="982">
        <f t="shared" si="6"/>
        <v>25.396039603960396</v>
      </c>
    </row>
    <row r="65" spans="2:18" x14ac:dyDescent="0.2">
      <c r="B65" s="172">
        <f t="shared" si="7"/>
        <v>60</v>
      </c>
      <c r="C65" s="142"/>
      <c r="D65" s="127"/>
      <c r="E65" s="146"/>
      <c r="F65" s="452" t="s">
        <v>322</v>
      </c>
      <c r="G65" s="201" t="s">
        <v>858</v>
      </c>
      <c r="H65" s="387"/>
      <c r="I65" s="387"/>
      <c r="J65" s="965"/>
      <c r="K65" s="145"/>
      <c r="L65" s="141">
        <f>2650-768</f>
        <v>1882</v>
      </c>
      <c r="M65" s="141">
        <v>1882</v>
      </c>
      <c r="N65" s="1036">
        <f t="shared" si="5"/>
        <v>100</v>
      </c>
      <c r="O65" s="145"/>
      <c r="P65" s="167">
        <f t="shared" si="22"/>
        <v>1882</v>
      </c>
      <c r="Q65" s="167">
        <f t="shared" si="24"/>
        <v>1882</v>
      </c>
      <c r="R65" s="982">
        <f t="shared" si="6"/>
        <v>100</v>
      </c>
    </row>
    <row r="66" spans="2:18" ht="15" x14ac:dyDescent="0.25">
      <c r="B66" s="172">
        <f t="shared" si="7"/>
        <v>61</v>
      </c>
      <c r="C66" s="142"/>
      <c r="D66" s="29" t="s">
        <v>348</v>
      </c>
      <c r="E66" s="175" t="s">
        <v>290</v>
      </c>
      <c r="F66" s="147" t="s">
        <v>349</v>
      </c>
      <c r="G66" s="238"/>
      <c r="H66" s="427">
        <f>SUM(H67:H69)+H75</f>
        <v>238225</v>
      </c>
      <c r="I66" s="427">
        <f t="shared" ref="I66" si="28">SUM(I67:I69)+I75</f>
        <v>243991</v>
      </c>
      <c r="J66" s="965">
        <f t="shared" si="3"/>
        <v>102.42040088151958</v>
      </c>
      <c r="K66" s="335"/>
      <c r="L66" s="432"/>
      <c r="M66" s="432"/>
      <c r="N66" s="1035"/>
      <c r="O66" s="335"/>
      <c r="P66" s="331">
        <f t="shared" si="22"/>
        <v>238225</v>
      </c>
      <c r="Q66" s="331">
        <f t="shared" si="24"/>
        <v>243991</v>
      </c>
      <c r="R66" s="982">
        <f t="shared" si="6"/>
        <v>102.42040088151958</v>
      </c>
    </row>
    <row r="67" spans="2:18" ht="12" customHeight="1" x14ac:dyDescent="0.2">
      <c r="B67" s="172">
        <f t="shared" si="7"/>
        <v>62</v>
      </c>
      <c r="C67" s="142"/>
      <c r="D67" s="143"/>
      <c r="E67" s="143"/>
      <c r="F67" s="143" t="s">
        <v>211</v>
      </c>
      <c r="G67" s="201" t="s">
        <v>506</v>
      </c>
      <c r="H67" s="387">
        <f>113960+5614+4169+840</f>
        <v>124583</v>
      </c>
      <c r="I67" s="387">
        <v>130412</v>
      </c>
      <c r="J67" s="965">
        <f t="shared" si="3"/>
        <v>104.67880850517327</v>
      </c>
      <c r="K67" s="145"/>
      <c r="L67" s="141"/>
      <c r="M67" s="141"/>
      <c r="N67" s="1036"/>
      <c r="O67" s="145"/>
      <c r="P67" s="167">
        <f t="shared" si="22"/>
        <v>124583</v>
      </c>
      <c r="Q67" s="167">
        <f t="shared" si="24"/>
        <v>130412</v>
      </c>
      <c r="R67" s="982">
        <f t="shared" si="6"/>
        <v>104.67880850517327</v>
      </c>
    </row>
    <row r="68" spans="2:18" ht="12" customHeight="1" x14ac:dyDescent="0.2">
      <c r="B68" s="172">
        <f t="shared" si="7"/>
        <v>63</v>
      </c>
      <c r="C68" s="142"/>
      <c r="D68" s="143"/>
      <c r="E68" s="143"/>
      <c r="F68" s="143" t="s">
        <v>212</v>
      </c>
      <c r="G68" s="201" t="s">
        <v>259</v>
      </c>
      <c r="H68" s="387">
        <f>41305+2032+2681+220</f>
        <v>46238</v>
      </c>
      <c r="I68" s="387">
        <v>44384</v>
      </c>
      <c r="J68" s="965">
        <f t="shared" si="3"/>
        <v>95.990310999610699</v>
      </c>
      <c r="K68" s="145"/>
      <c r="L68" s="141"/>
      <c r="M68" s="141"/>
      <c r="N68" s="1036"/>
      <c r="O68" s="145"/>
      <c r="P68" s="167">
        <f t="shared" si="22"/>
        <v>46238</v>
      </c>
      <c r="Q68" s="167">
        <f t="shared" si="24"/>
        <v>44384</v>
      </c>
      <c r="R68" s="982">
        <f t="shared" si="6"/>
        <v>95.990310999610699</v>
      </c>
    </row>
    <row r="69" spans="2:18" ht="12" customHeight="1" x14ac:dyDescent="0.2">
      <c r="B69" s="172">
        <f t="shared" si="7"/>
        <v>64</v>
      </c>
      <c r="C69" s="142"/>
      <c r="D69" s="143"/>
      <c r="E69" s="143"/>
      <c r="F69" s="143" t="s">
        <v>218</v>
      </c>
      <c r="G69" s="201" t="s">
        <v>341</v>
      </c>
      <c r="H69" s="387">
        <f>SUM(H70:H74)</f>
        <v>63364</v>
      </c>
      <c r="I69" s="387">
        <f t="shared" ref="I69" si="29">SUM(I70:I74)</f>
        <v>69130</v>
      </c>
      <c r="J69" s="965">
        <f t="shared" si="3"/>
        <v>109.09980430528377</v>
      </c>
      <c r="K69" s="145"/>
      <c r="L69" s="141"/>
      <c r="M69" s="141"/>
      <c r="N69" s="1036"/>
      <c r="O69" s="145"/>
      <c r="P69" s="167">
        <f t="shared" si="22"/>
        <v>63364</v>
      </c>
      <c r="Q69" s="167">
        <f t="shared" si="24"/>
        <v>69130</v>
      </c>
      <c r="R69" s="982">
        <f t="shared" si="6"/>
        <v>109.09980430528377</v>
      </c>
    </row>
    <row r="70" spans="2:18" ht="12" customHeight="1" x14ac:dyDescent="0.2">
      <c r="B70" s="172">
        <f t="shared" si="7"/>
        <v>65</v>
      </c>
      <c r="C70" s="142"/>
      <c r="D70" s="127"/>
      <c r="E70" s="127"/>
      <c r="F70" s="127" t="s">
        <v>199</v>
      </c>
      <c r="G70" s="193" t="s">
        <v>319</v>
      </c>
      <c r="H70" s="570">
        <f>48450-2105</f>
        <v>46345</v>
      </c>
      <c r="I70" s="570">
        <v>51376</v>
      </c>
      <c r="J70" s="966">
        <f t="shared" si="3"/>
        <v>110.8555399719495</v>
      </c>
      <c r="K70" s="145"/>
      <c r="L70" s="141"/>
      <c r="M70" s="141"/>
      <c r="N70" s="1036"/>
      <c r="O70" s="145"/>
      <c r="P70" s="168">
        <f t="shared" si="22"/>
        <v>46345</v>
      </c>
      <c r="Q70" s="168">
        <f t="shared" si="24"/>
        <v>51376</v>
      </c>
      <c r="R70" s="983">
        <f t="shared" si="6"/>
        <v>110.8555399719495</v>
      </c>
    </row>
    <row r="71" spans="2:18" ht="12" customHeight="1" x14ac:dyDescent="0.2">
      <c r="B71" s="172">
        <f t="shared" si="7"/>
        <v>66</v>
      </c>
      <c r="C71" s="142"/>
      <c r="D71" s="127"/>
      <c r="E71" s="127"/>
      <c r="F71" s="127" t="s">
        <v>200</v>
      </c>
      <c r="G71" s="193" t="s">
        <v>247</v>
      </c>
      <c r="H71" s="570">
        <f>8300+1259+244</f>
        <v>9803</v>
      </c>
      <c r="I71" s="570">
        <v>11005</v>
      </c>
      <c r="J71" s="966">
        <f t="shared" ref="J71:J135" si="30">I71/H71*100</f>
        <v>112.26155258594308</v>
      </c>
      <c r="K71" s="145"/>
      <c r="L71" s="141"/>
      <c r="M71" s="141"/>
      <c r="N71" s="1036"/>
      <c r="O71" s="145"/>
      <c r="P71" s="168">
        <f t="shared" si="22"/>
        <v>9803</v>
      </c>
      <c r="Q71" s="168">
        <f t="shared" si="24"/>
        <v>11005</v>
      </c>
      <c r="R71" s="983">
        <f t="shared" ref="R71:R135" si="31">Q71/P71*100</f>
        <v>112.26155258594308</v>
      </c>
    </row>
    <row r="72" spans="2:18" ht="12" customHeight="1" x14ac:dyDescent="0.2">
      <c r="B72" s="172">
        <f t="shared" si="7"/>
        <v>67</v>
      </c>
      <c r="C72" s="142"/>
      <c r="D72" s="127"/>
      <c r="E72" s="179"/>
      <c r="F72" s="766" t="s">
        <v>200</v>
      </c>
      <c r="G72" s="767" t="s">
        <v>808</v>
      </c>
      <c r="H72" s="768">
        <v>2000</v>
      </c>
      <c r="I72" s="768">
        <v>2000</v>
      </c>
      <c r="J72" s="966">
        <f t="shared" si="30"/>
        <v>100</v>
      </c>
      <c r="K72" s="769"/>
      <c r="L72" s="770"/>
      <c r="M72" s="770"/>
      <c r="N72" s="1036"/>
      <c r="O72" s="769"/>
      <c r="P72" s="771">
        <f t="shared" si="22"/>
        <v>2000</v>
      </c>
      <c r="Q72" s="771">
        <f t="shared" si="24"/>
        <v>2000</v>
      </c>
      <c r="R72" s="983">
        <f t="shared" si="31"/>
        <v>100</v>
      </c>
    </row>
    <row r="73" spans="2:18" ht="12" customHeight="1" x14ac:dyDescent="0.2">
      <c r="B73" s="172">
        <f t="shared" si="7"/>
        <v>68</v>
      </c>
      <c r="C73" s="142"/>
      <c r="D73" s="127"/>
      <c r="E73" s="146"/>
      <c r="F73" s="127" t="s">
        <v>214</v>
      </c>
      <c r="G73" s="193" t="s">
        <v>261</v>
      </c>
      <c r="H73" s="570">
        <f>150+846</f>
        <v>996</v>
      </c>
      <c r="I73" s="570">
        <v>846</v>
      </c>
      <c r="J73" s="966">
        <f t="shared" si="30"/>
        <v>84.939759036144579</v>
      </c>
      <c r="K73" s="145"/>
      <c r="L73" s="141"/>
      <c r="M73" s="141"/>
      <c r="N73" s="1036"/>
      <c r="O73" s="145"/>
      <c r="P73" s="168">
        <f t="shared" si="22"/>
        <v>996</v>
      </c>
      <c r="Q73" s="168">
        <f t="shared" si="24"/>
        <v>846</v>
      </c>
      <c r="R73" s="983">
        <f t="shared" si="31"/>
        <v>84.939759036144579</v>
      </c>
    </row>
    <row r="74" spans="2:18" x14ac:dyDescent="0.2">
      <c r="B74" s="172">
        <f t="shared" si="7"/>
        <v>69</v>
      </c>
      <c r="C74" s="142"/>
      <c r="D74" s="127"/>
      <c r="E74" s="146"/>
      <c r="F74" s="127" t="s">
        <v>216</v>
      </c>
      <c r="G74" s="193" t="s">
        <v>248</v>
      </c>
      <c r="H74" s="570">
        <v>4220</v>
      </c>
      <c r="I74" s="570">
        <v>3903</v>
      </c>
      <c r="J74" s="966">
        <f t="shared" si="30"/>
        <v>92.488151658767777</v>
      </c>
      <c r="K74" s="145"/>
      <c r="L74" s="141"/>
      <c r="M74" s="141"/>
      <c r="N74" s="1036"/>
      <c r="O74" s="145"/>
      <c r="P74" s="168">
        <f t="shared" si="22"/>
        <v>4220</v>
      </c>
      <c r="Q74" s="168">
        <f t="shared" si="24"/>
        <v>3903</v>
      </c>
      <c r="R74" s="983">
        <f t="shared" si="31"/>
        <v>92.488151658767777</v>
      </c>
    </row>
    <row r="75" spans="2:18" x14ac:dyDescent="0.2">
      <c r="B75" s="172">
        <f t="shared" si="7"/>
        <v>70</v>
      </c>
      <c r="C75" s="142"/>
      <c r="D75" s="127"/>
      <c r="E75" s="146"/>
      <c r="F75" s="286" t="s">
        <v>653</v>
      </c>
      <c r="G75" s="201" t="s">
        <v>666</v>
      </c>
      <c r="H75" s="387">
        <v>4040</v>
      </c>
      <c r="I75" s="387">
        <v>65</v>
      </c>
      <c r="J75" s="965">
        <f t="shared" si="30"/>
        <v>1.608910891089109</v>
      </c>
      <c r="K75" s="145"/>
      <c r="L75" s="141"/>
      <c r="M75" s="141"/>
      <c r="N75" s="1036"/>
      <c r="O75" s="145"/>
      <c r="P75" s="167">
        <f t="shared" si="22"/>
        <v>4040</v>
      </c>
      <c r="Q75" s="167">
        <f t="shared" si="24"/>
        <v>65</v>
      </c>
      <c r="R75" s="982">
        <f t="shared" si="31"/>
        <v>1.608910891089109</v>
      </c>
    </row>
    <row r="76" spans="2:18" ht="15" x14ac:dyDescent="0.25">
      <c r="B76" s="172">
        <f t="shared" si="7"/>
        <v>71</v>
      </c>
      <c r="C76" s="142"/>
      <c r="D76" s="29" t="s">
        <v>350</v>
      </c>
      <c r="E76" s="175" t="s">
        <v>290</v>
      </c>
      <c r="F76" s="147" t="s">
        <v>351</v>
      </c>
      <c r="G76" s="238"/>
      <c r="H76" s="427">
        <f>SUM(H77:H79)+H84</f>
        <v>138688</v>
      </c>
      <c r="I76" s="427">
        <f t="shared" ref="I76" si="32">SUM(I77:I79)+I84</f>
        <v>139931</v>
      </c>
      <c r="J76" s="965">
        <f t="shared" si="30"/>
        <v>100.89625634517768</v>
      </c>
      <c r="K76" s="335"/>
      <c r="L76" s="432">
        <f>L85+L86+L87</f>
        <v>37000</v>
      </c>
      <c r="M76" s="432">
        <f t="shared" ref="M76" si="33">M85+M86+M87</f>
        <v>36191</v>
      </c>
      <c r="N76" s="1035">
        <f t="shared" ref="N76:N118" si="34">M76/L76*100</f>
        <v>97.813513513513513</v>
      </c>
      <c r="O76" s="335"/>
      <c r="P76" s="331">
        <f t="shared" si="22"/>
        <v>175688</v>
      </c>
      <c r="Q76" s="331">
        <f t="shared" si="24"/>
        <v>176122</v>
      </c>
      <c r="R76" s="982">
        <f t="shared" si="31"/>
        <v>100.24702882382405</v>
      </c>
    </row>
    <row r="77" spans="2:18" ht="12" customHeight="1" x14ac:dyDescent="0.2">
      <c r="B77" s="172">
        <f t="shared" si="7"/>
        <v>72</v>
      </c>
      <c r="C77" s="142"/>
      <c r="D77" s="143"/>
      <c r="E77" s="143"/>
      <c r="F77" s="143" t="s">
        <v>211</v>
      </c>
      <c r="G77" s="201" t="s">
        <v>506</v>
      </c>
      <c r="H77" s="387">
        <f>65780+3247+6380+1921</f>
        <v>77328</v>
      </c>
      <c r="I77" s="387">
        <v>78374</v>
      </c>
      <c r="J77" s="965">
        <f t="shared" si="30"/>
        <v>101.35267949513759</v>
      </c>
      <c r="K77" s="145"/>
      <c r="L77" s="141"/>
      <c r="M77" s="141"/>
      <c r="N77" s="1036"/>
      <c r="O77" s="145"/>
      <c r="P77" s="167">
        <f t="shared" si="22"/>
        <v>77328</v>
      </c>
      <c r="Q77" s="167">
        <f t="shared" si="24"/>
        <v>78374</v>
      </c>
      <c r="R77" s="982">
        <f t="shared" si="31"/>
        <v>101.35267949513759</v>
      </c>
    </row>
    <row r="78" spans="2:18" ht="12" customHeight="1" x14ac:dyDescent="0.2">
      <c r="B78" s="172">
        <f t="shared" si="7"/>
        <v>73</v>
      </c>
      <c r="C78" s="142"/>
      <c r="D78" s="143"/>
      <c r="E78" s="143"/>
      <c r="F78" s="143" t="s">
        <v>212</v>
      </c>
      <c r="G78" s="201" t="s">
        <v>259</v>
      </c>
      <c r="H78" s="387">
        <f>23626+1165+2260+543</f>
        <v>27594</v>
      </c>
      <c r="I78" s="387">
        <v>27288</v>
      </c>
      <c r="J78" s="965">
        <f t="shared" si="30"/>
        <v>98.891063274624912</v>
      </c>
      <c r="K78" s="145"/>
      <c r="L78" s="141"/>
      <c r="M78" s="141"/>
      <c r="N78" s="1036"/>
      <c r="O78" s="145"/>
      <c r="P78" s="167">
        <f t="shared" si="22"/>
        <v>27594</v>
      </c>
      <c r="Q78" s="167">
        <f t="shared" si="24"/>
        <v>27288</v>
      </c>
      <c r="R78" s="982">
        <f t="shared" si="31"/>
        <v>98.891063274624912</v>
      </c>
    </row>
    <row r="79" spans="2:18" ht="12" customHeight="1" x14ac:dyDescent="0.2">
      <c r="B79" s="172">
        <f t="shared" si="7"/>
        <v>74</v>
      </c>
      <c r="C79" s="142"/>
      <c r="D79" s="143"/>
      <c r="E79" s="143"/>
      <c r="F79" s="143" t="s">
        <v>218</v>
      </c>
      <c r="G79" s="201" t="s">
        <v>341</v>
      </c>
      <c r="H79" s="387">
        <f>SUM(H80:H83)</f>
        <v>32456</v>
      </c>
      <c r="I79" s="387">
        <f t="shared" ref="I79" si="35">SUM(I80:I83)</f>
        <v>33699</v>
      </c>
      <c r="J79" s="965">
        <f t="shared" si="30"/>
        <v>103.82980034508257</v>
      </c>
      <c r="K79" s="145"/>
      <c r="L79" s="141"/>
      <c r="M79" s="141"/>
      <c r="N79" s="1036"/>
      <c r="O79" s="145"/>
      <c r="P79" s="167">
        <f t="shared" si="22"/>
        <v>32456</v>
      </c>
      <c r="Q79" s="167">
        <f t="shared" si="24"/>
        <v>33699</v>
      </c>
      <c r="R79" s="982">
        <f t="shared" si="31"/>
        <v>103.82980034508257</v>
      </c>
    </row>
    <row r="80" spans="2:18" ht="12" customHeight="1" x14ac:dyDescent="0.2">
      <c r="B80" s="172">
        <f t="shared" ref="B80:B93" si="36">B79+1</f>
        <v>75</v>
      </c>
      <c r="C80" s="142"/>
      <c r="D80" s="127"/>
      <c r="E80" s="127"/>
      <c r="F80" s="127" t="s">
        <v>199</v>
      </c>
      <c r="G80" s="193" t="s">
        <v>319</v>
      </c>
      <c r="H80" s="570">
        <v>14500</v>
      </c>
      <c r="I80" s="570">
        <v>14056</v>
      </c>
      <c r="J80" s="966">
        <f t="shared" si="30"/>
        <v>96.937931034482759</v>
      </c>
      <c r="K80" s="145"/>
      <c r="L80" s="141"/>
      <c r="M80" s="141"/>
      <c r="N80" s="1036"/>
      <c r="O80" s="145"/>
      <c r="P80" s="168">
        <f t="shared" si="22"/>
        <v>14500</v>
      </c>
      <c r="Q80" s="168">
        <f t="shared" si="24"/>
        <v>14056</v>
      </c>
      <c r="R80" s="983">
        <f t="shared" si="31"/>
        <v>96.937931034482759</v>
      </c>
    </row>
    <row r="81" spans="2:18" ht="12" customHeight="1" x14ac:dyDescent="0.2">
      <c r="B81" s="172">
        <f t="shared" si="36"/>
        <v>76</v>
      </c>
      <c r="C81" s="142"/>
      <c r="D81" s="127"/>
      <c r="E81" s="127"/>
      <c r="F81" s="292" t="s">
        <v>200</v>
      </c>
      <c r="G81" s="193" t="s">
        <v>247</v>
      </c>
      <c r="H81" s="570">
        <f>7130-1100+7600-1548-484</f>
        <v>11598</v>
      </c>
      <c r="I81" s="570">
        <v>12777</v>
      </c>
      <c r="J81" s="966">
        <f t="shared" si="30"/>
        <v>110.16554578375582</v>
      </c>
      <c r="K81" s="145"/>
      <c r="L81" s="141"/>
      <c r="M81" s="141"/>
      <c r="N81" s="1036"/>
      <c r="O81" s="145"/>
      <c r="P81" s="168">
        <f t="shared" si="22"/>
        <v>11598</v>
      </c>
      <c r="Q81" s="168">
        <f t="shared" si="24"/>
        <v>12777</v>
      </c>
      <c r="R81" s="983">
        <f t="shared" si="31"/>
        <v>110.16554578375582</v>
      </c>
    </row>
    <row r="82" spans="2:18" ht="12" customHeight="1" x14ac:dyDescent="0.2">
      <c r="B82" s="172">
        <f t="shared" si="36"/>
        <v>77</v>
      </c>
      <c r="C82" s="142"/>
      <c r="D82" s="127"/>
      <c r="E82" s="179"/>
      <c r="F82" s="127" t="s">
        <v>214</v>
      </c>
      <c r="G82" s="193" t="s">
        <v>261</v>
      </c>
      <c r="H82" s="570">
        <v>2160</v>
      </c>
      <c r="I82" s="570">
        <v>2562</v>
      </c>
      <c r="J82" s="966">
        <f t="shared" si="30"/>
        <v>118.61111111111111</v>
      </c>
      <c r="K82" s="145"/>
      <c r="L82" s="141"/>
      <c r="M82" s="141"/>
      <c r="N82" s="1036"/>
      <c r="O82" s="145"/>
      <c r="P82" s="168">
        <f t="shared" ref="P82" si="37">H82+L82</f>
        <v>2160</v>
      </c>
      <c r="Q82" s="168">
        <f t="shared" ref="Q82" si="38">I82+M82</f>
        <v>2562</v>
      </c>
      <c r="R82" s="983">
        <f t="shared" si="31"/>
        <v>118.61111111111111</v>
      </c>
    </row>
    <row r="83" spans="2:18" x14ac:dyDescent="0.2">
      <c r="B83" s="172">
        <f t="shared" si="36"/>
        <v>78</v>
      </c>
      <c r="C83" s="142"/>
      <c r="D83" s="127"/>
      <c r="E83" s="146"/>
      <c r="F83" s="127" t="s">
        <v>216</v>
      </c>
      <c r="G83" s="193" t="s">
        <v>248</v>
      </c>
      <c r="H83" s="570">
        <f>2650+1548</f>
        <v>4198</v>
      </c>
      <c r="I83" s="570">
        <v>4304</v>
      </c>
      <c r="J83" s="966">
        <f t="shared" si="30"/>
        <v>102.52501191043355</v>
      </c>
      <c r="K83" s="145"/>
      <c r="L83" s="141"/>
      <c r="M83" s="141"/>
      <c r="N83" s="1036"/>
      <c r="O83" s="145"/>
      <c r="P83" s="168">
        <f t="shared" si="22"/>
        <v>4198</v>
      </c>
      <c r="Q83" s="168">
        <f t="shared" ref="Q83:Q158" si="39">I83+M83</f>
        <v>4304</v>
      </c>
      <c r="R83" s="983">
        <f t="shared" si="31"/>
        <v>102.52501191043355</v>
      </c>
    </row>
    <row r="84" spans="2:18" x14ac:dyDescent="0.2">
      <c r="B84" s="172">
        <f t="shared" si="36"/>
        <v>79</v>
      </c>
      <c r="C84" s="142"/>
      <c r="D84" s="127"/>
      <c r="E84" s="146"/>
      <c r="F84" s="286" t="s">
        <v>653</v>
      </c>
      <c r="G84" s="201" t="s">
        <v>666</v>
      </c>
      <c r="H84" s="387">
        <v>1310</v>
      </c>
      <c r="I84" s="387">
        <v>570</v>
      </c>
      <c r="J84" s="965">
        <f t="shared" si="30"/>
        <v>43.511450381679388</v>
      </c>
      <c r="K84" s="145"/>
      <c r="L84" s="141"/>
      <c r="M84" s="141"/>
      <c r="N84" s="1036"/>
      <c r="O84" s="145"/>
      <c r="P84" s="167">
        <f t="shared" si="22"/>
        <v>1310</v>
      </c>
      <c r="Q84" s="167">
        <f t="shared" si="39"/>
        <v>570</v>
      </c>
      <c r="R84" s="982">
        <f t="shared" si="31"/>
        <v>43.511450381679388</v>
      </c>
    </row>
    <row r="85" spans="2:18" x14ac:dyDescent="0.2">
      <c r="B85" s="172">
        <f t="shared" si="36"/>
        <v>80</v>
      </c>
      <c r="C85" s="142"/>
      <c r="D85" s="127"/>
      <c r="E85" s="146"/>
      <c r="F85" s="286" t="s">
        <v>322</v>
      </c>
      <c r="G85" s="201" t="s">
        <v>747</v>
      </c>
      <c r="H85" s="387"/>
      <c r="I85" s="387"/>
      <c r="J85" s="965"/>
      <c r="K85" s="145"/>
      <c r="L85" s="394">
        <f>12000+4000</f>
        <v>16000</v>
      </c>
      <c r="M85" s="394">
        <v>15890</v>
      </c>
      <c r="N85" s="1035">
        <f t="shared" si="34"/>
        <v>99.3125</v>
      </c>
      <c r="O85" s="145"/>
      <c r="P85" s="167">
        <f t="shared" ref="P85:P87" si="40">H85+L85</f>
        <v>16000</v>
      </c>
      <c r="Q85" s="167">
        <f t="shared" si="39"/>
        <v>15890</v>
      </c>
      <c r="R85" s="982">
        <f t="shared" si="31"/>
        <v>99.3125</v>
      </c>
    </row>
    <row r="86" spans="2:18" x14ac:dyDescent="0.2">
      <c r="B86" s="172">
        <f t="shared" si="36"/>
        <v>81</v>
      </c>
      <c r="C86" s="142"/>
      <c r="D86" s="127"/>
      <c r="E86" s="146"/>
      <c r="F86" s="778" t="s">
        <v>322</v>
      </c>
      <c r="G86" s="779" t="s">
        <v>807</v>
      </c>
      <c r="H86" s="780"/>
      <c r="I86" s="780"/>
      <c r="J86" s="965"/>
      <c r="K86" s="772"/>
      <c r="L86" s="783">
        <v>8000</v>
      </c>
      <c r="M86" s="783">
        <v>7470</v>
      </c>
      <c r="N86" s="1035">
        <f t="shared" si="34"/>
        <v>93.375</v>
      </c>
      <c r="O86" s="772"/>
      <c r="P86" s="781">
        <f t="shared" si="40"/>
        <v>8000</v>
      </c>
      <c r="Q86" s="781">
        <f t="shared" si="39"/>
        <v>7470</v>
      </c>
      <c r="R86" s="982">
        <f t="shared" si="31"/>
        <v>93.375</v>
      </c>
    </row>
    <row r="87" spans="2:18" x14ac:dyDescent="0.2">
      <c r="B87" s="172">
        <f t="shared" si="36"/>
        <v>82</v>
      </c>
      <c r="C87" s="142"/>
      <c r="D87" s="127"/>
      <c r="E87" s="146"/>
      <c r="F87" s="778" t="s">
        <v>322</v>
      </c>
      <c r="G87" s="779" t="s">
        <v>823</v>
      </c>
      <c r="H87" s="780"/>
      <c r="I87" s="780"/>
      <c r="J87" s="965"/>
      <c r="K87" s="772"/>
      <c r="L87" s="783">
        <f>20000-5000-2000</f>
        <v>13000</v>
      </c>
      <c r="M87" s="783">
        <v>12831</v>
      </c>
      <c r="N87" s="1035">
        <f t="shared" si="34"/>
        <v>98.7</v>
      </c>
      <c r="O87" s="772"/>
      <c r="P87" s="781">
        <f t="shared" si="40"/>
        <v>13000</v>
      </c>
      <c r="Q87" s="781">
        <f t="shared" si="39"/>
        <v>12831</v>
      </c>
      <c r="R87" s="982">
        <f t="shared" si="31"/>
        <v>98.7</v>
      </c>
    </row>
    <row r="88" spans="2:18" ht="15" x14ac:dyDescent="0.25">
      <c r="B88" s="172">
        <f t="shared" si="36"/>
        <v>83</v>
      </c>
      <c r="C88" s="142"/>
      <c r="D88" s="29" t="s">
        <v>352</v>
      </c>
      <c r="E88" s="175" t="s">
        <v>290</v>
      </c>
      <c r="F88" s="147" t="s">
        <v>353</v>
      </c>
      <c r="G88" s="238"/>
      <c r="H88" s="427">
        <f>SUM(H89:H91)+H96</f>
        <v>206858</v>
      </c>
      <c r="I88" s="427">
        <f t="shared" ref="I88" si="41">SUM(I89:I91)+I96</f>
        <v>209524</v>
      </c>
      <c r="J88" s="965">
        <f t="shared" si="30"/>
        <v>101.28880681433641</v>
      </c>
      <c r="K88" s="335"/>
      <c r="L88" s="432">
        <f>L97</f>
        <v>1740</v>
      </c>
      <c r="M88" s="432">
        <f t="shared" ref="M88" si="42">M97</f>
        <v>1740</v>
      </c>
      <c r="N88" s="1035">
        <f t="shared" si="34"/>
        <v>100</v>
      </c>
      <c r="O88" s="335"/>
      <c r="P88" s="331">
        <f t="shared" si="22"/>
        <v>208598</v>
      </c>
      <c r="Q88" s="331">
        <f t="shared" si="39"/>
        <v>211264</v>
      </c>
      <c r="R88" s="982">
        <f t="shared" si="31"/>
        <v>101.27805635720381</v>
      </c>
    </row>
    <row r="89" spans="2:18" ht="12" customHeight="1" x14ac:dyDescent="0.2">
      <c r="B89" s="172">
        <f t="shared" si="36"/>
        <v>84</v>
      </c>
      <c r="C89" s="142"/>
      <c r="D89" s="143"/>
      <c r="E89" s="143"/>
      <c r="F89" s="143" t="s">
        <v>211</v>
      </c>
      <c r="G89" s="201" t="s">
        <v>506</v>
      </c>
      <c r="H89" s="387">
        <f>105010+5167+983</f>
        <v>111160</v>
      </c>
      <c r="I89" s="387">
        <v>111985</v>
      </c>
      <c r="J89" s="965">
        <f t="shared" si="30"/>
        <v>100.74217344368476</v>
      </c>
      <c r="K89" s="145"/>
      <c r="L89" s="141"/>
      <c r="M89" s="141"/>
      <c r="N89" s="1036"/>
      <c r="O89" s="145"/>
      <c r="P89" s="167">
        <f t="shared" si="22"/>
        <v>111160</v>
      </c>
      <c r="Q89" s="167">
        <f t="shared" si="39"/>
        <v>111985</v>
      </c>
      <c r="R89" s="982">
        <f t="shared" si="31"/>
        <v>100.74217344368476</v>
      </c>
    </row>
    <row r="90" spans="2:18" ht="12" customHeight="1" x14ac:dyDescent="0.2">
      <c r="B90" s="172">
        <f t="shared" si="36"/>
        <v>85</v>
      </c>
      <c r="C90" s="142"/>
      <c r="D90" s="143"/>
      <c r="E90" s="143"/>
      <c r="F90" s="143" t="s">
        <v>212</v>
      </c>
      <c r="G90" s="201" t="s">
        <v>259</v>
      </c>
      <c r="H90" s="387">
        <f>38105+1872+961</f>
        <v>40938</v>
      </c>
      <c r="I90" s="387">
        <v>40509</v>
      </c>
      <c r="J90" s="965">
        <f t="shared" si="30"/>
        <v>98.952073867800081</v>
      </c>
      <c r="K90" s="145"/>
      <c r="L90" s="141"/>
      <c r="M90" s="141"/>
      <c r="N90" s="1036"/>
      <c r="O90" s="145"/>
      <c r="P90" s="167">
        <f t="shared" si="22"/>
        <v>40938</v>
      </c>
      <c r="Q90" s="167">
        <f t="shared" si="39"/>
        <v>40509</v>
      </c>
      <c r="R90" s="982">
        <f t="shared" si="31"/>
        <v>98.952073867800081</v>
      </c>
    </row>
    <row r="91" spans="2:18" ht="12" customHeight="1" x14ac:dyDescent="0.2">
      <c r="B91" s="172">
        <f t="shared" si="36"/>
        <v>86</v>
      </c>
      <c r="C91" s="142"/>
      <c r="D91" s="143"/>
      <c r="E91" s="143"/>
      <c r="F91" s="143" t="s">
        <v>218</v>
      </c>
      <c r="G91" s="201" t="s">
        <v>341</v>
      </c>
      <c r="H91" s="387">
        <f>SUM(H92:H95)</f>
        <v>53980</v>
      </c>
      <c r="I91" s="387">
        <f t="shared" ref="I91" si="43">SUM(I92:I95)</f>
        <v>56645</v>
      </c>
      <c r="J91" s="965">
        <f t="shared" si="30"/>
        <v>104.93701370878104</v>
      </c>
      <c r="K91" s="145"/>
      <c r="L91" s="141"/>
      <c r="M91" s="141"/>
      <c r="N91" s="1036"/>
      <c r="O91" s="145"/>
      <c r="P91" s="167">
        <f t="shared" si="22"/>
        <v>53980</v>
      </c>
      <c r="Q91" s="167">
        <f t="shared" si="39"/>
        <v>56645</v>
      </c>
      <c r="R91" s="982">
        <f t="shared" si="31"/>
        <v>104.93701370878104</v>
      </c>
    </row>
    <row r="92" spans="2:18" ht="12" customHeight="1" x14ac:dyDescent="0.2">
      <c r="B92" s="172">
        <f t="shared" si="36"/>
        <v>87</v>
      </c>
      <c r="C92" s="142"/>
      <c r="D92" s="127"/>
      <c r="E92" s="127"/>
      <c r="F92" s="127" t="s">
        <v>199</v>
      </c>
      <c r="G92" s="193" t="s">
        <v>319</v>
      </c>
      <c r="H92" s="570">
        <f>41300-1253</f>
        <v>40047</v>
      </c>
      <c r="I92" s="570">
        <v>42478</v>
      </c>
      <c r="J92" s="966">
        <f t="shared" si="30"/>
        <v>106.07036731840087</v>
      </c>
      <c r="K92" s="145"/>
      <c r="L92" s="141"/>
      <c r="M92" s="141"/>
      <c r="N92" s="1036"/>
      <c r="O92" s="145"/>
      <c r="P92" s="168">
        <f t="shared" si="22"/>
        <v>40047</v>
      </c>
      <c r="Q92" s="168">
        <f t="shared" si="39"/>
        <v>42478</v>
      </c>
      <c r="R92" s="983">
        <f t="shared" si="31"/>
        <v>106.07036731840087</v>
      </c>
    </row>
    <row r="93" spans="2:18" ht="12" customHeight="1" x14ac:dyDescent="0.2">
      <c r="B93" s="172">
        <f t="shared" si="36"/>
        <v>88</v>
      </c>
      <c r="C93" s="142"/>
      <c r="D93" s="127"/>
      <c r="E93" s="127"/>
      <c r="F93" s="127" t="s">
        <v>200</v>
      </c>
      <c r="G93" s="193" t="s">
        <v>247</v>
      </c>
      <c r="H93" s="570">
        <f>6815+1000-1000+815</f>
        <v>7630</v>
      </c>
      <c r="I93" s="570">
        <v>8253</v>
      </c>
      <c r="J93" s="966">
        <f t="shared" si="30"/>
        <v>108.1651376146789</v>
      </c>
      <c r="K93" s="145"/>
      <c r="L93" s="141"/>
      <c r="M93" s="141"/>
      <c r="N93" s="1036"/>
      <c r="O93" s="145"/>
      <c r="P93" s="168">
        <f t="shared" si="22"/>
        <v>7630</v>
      </c>
      <c r="Q93" s="168">
        <f t="shared" si="39"/>
        <v>8253</v>
      </c>
      <c r="R93" s="983">
        <f t="shared" si="31"/>
        <v>108.1651376146789</v>
      </c>
    </row>
    <row r="94" spans="2:18" ht="12" customHeight="1" x14ac:dyDescent="0.2">
      <c r="B94" s="172">
        <f t="shared" ref="B94" si="44">B93+1</f>
        <v>89</v>
      </c>
      <c r="C94" s="142"/>
      <c r="D94" s="127"/>
      <c r="E94" s="146"/>
      <c r="F94" s="127" t="s">
        <v>214</v>
      </c>
      <c r="G94" s="193" t="s">
        <v>261</v>
      </c>
      <c r="H94" s="570">
        <f>400+2253</f>
        <v>2653</v>
      </c>
      <c r="I94" s="570">
        <v>2265</v>
      </c>
      <c r="J94" s="966">
        <f t="shared" si="30"/>
        <v>85.375047116471919</v>
      </c>
      <c r="K94" s="145"/>
      <c r="L94" s="141"/>
      <c r="M94" s="141"/>
      <c r="N94" s="1036"/>
      <c r="O94" s="145"/>
      <c r="P94" s="168">
        <f t="shared" si="22"/>
        <v>2653</v>
      </c>
      <c r="Q94" s="168">
        <f t="shared" si="39"/>
        <v>2265</v>
      </c>
      <c r="R94" s="983">
        <f t="shared" si="31"/>
        <v>85.375047116471919</v>
      </c>
    </row>
    <row r="95" spans="2:18" ht="12" customHeight="1" x14ac:dyDescent="0.2">
      <c r="B95" s="172">
        <f t="shared" ref="B95:B159" si="45">B94+1</f>
        <v>90</v>
      </c>
      <c r="C95" s="291"/>
      <c r="D95" s="292"/>
      <c r="E95" s="408"/>
      <c r="F95" s="292" t="s">
        <v>216</v>
      </c>
      <c r="G95" s="204" t="s">
        <v>248</v>
      </c>
      <c r="H95" s="570">
        <v>3650</v>
      </c>
      <c r="I95" s="570">
        <v>3649</v>
      </c>
      <c r="J95" s="966">
        <f t="shared" si="30"/>
        <v>99.972602739726028</v>
      </c>
      <c r="K95" s="285"/>
      <c r="L95" s="139"/>
      <c r="M95" s="139"/>
      <c r="N95" s="1037"/>
      <c r="O95" s="285"/>
      <c r="P95" s="169">
        <f t="shared" si="22"/>
        <v>3650</v>
      </c>
      <c r="Q95" s="169">
        <f t="shared" si="39"/>
        <v>3649</v>
      </c>
      <c r="R95" s="986">
        <f t="shared" si="31"/>
        <v>99.972602739726028</v>
      </c>
    </row>
    <row r="96" spans="2:18" ht="12" customHeight="1" x14ac:dyDescent="0.2">
      <c r="B96" s="172">
        <f t="shared" si="45"/>
        <v>91</v>
      </c>
      <c r="C96" s="142"/>
      <c r="D96" s="127"/>
      <c r="E96" s="146"/>
      <c r="F96" s="286" t="s">
        <v>653</v>
      </c>
      <c r="G96" s="201" t="s">
        <v>666</v>
      </c>
      <c r="H96" s="444">
        <v>780</v>
      </c>
      <c r="I96" s="444">
        <v>385</v>
      </c>
      <c r="J96" s="995">
        <f t="shared" si="30"/>
        <v>49.358974358974365</v>
      </c>
      <c r="K96" s="285"/>
      <c r="L96" s="159"/>
      <c r="M96" s="159"/>
      <c r="N96" s="1038"/>
      <c r="O96" s="285"/>
      <c r="P96" s="619">
        <f t="shared" si="22"/>
        <v>780</v>
      </c>
      <c r="Q96" s="619">
        <f t="shared" si="39"/>
        <v>385</v>
      </c>
      <c r="R96" s="1009">
        <f t="shared" si="31"/>
        <v>49.358974358974365</v>
      </c>
    </row>
    <row r="97" spans="2:18" ht="12" customHeight="1" x14ac:dyDescent="0.2">
      <c r="B97" s="172">
        <f t="shared" si="45"/>
        <v>92</v>
      </c>
      <c r="C97" s="142"/>
      <c r="D97" s="127"/>
      <c r="E97" s="146"/>
      <c r="F97" s="166" t="s">
        <v>433</v>
      </c>
      <c r="G97" s="201" t="s">
        <v>797</v>
      </c>
      <c r="H97" s="444"/>
      <c r="I97" s="444"/>
      <c r="J97" s="995"/>
      <c r="K97" s="145"/>
      <c r="L97" s="703">
        <v>1740</v>
      </c>
      <c r="M97" s="703">
        <v>1740</v>
      </c>
      <c r="N97" s="1039">
        <f t="shared" si="34"/>
        <v>100</v>
      </c>
      <c r="O97" s="145"/>
      <c r="P97" s="619">
        <f t="shared" si="22"/>
        <v>1740</v>
      </c>
      <c r="Q97" s="619">
        <f t="shared" si="39"/>
        <v>1740</v>
      </c>
      <c r="R97" s="1009">
        <f t="shared" si="31"/>
        <v>100</v>
      </c>
    </row>
    <row r="98" spans="2:18" ht="15" x14ac:dyDescent="0.25">
      <c r="B98" s="172">
        <f t="shared" si="45"/>
        <v>93</v>
      </c>
      <c r="C98" s="142"/>
      <c r="D98" s="29" t="s">
        <v>354</v>
      </c>
      <c r="E98" s="266" t="s">
        <v>290</v>
      </c>
      <c r="F98" s="267" t="s">
        <v>355</v>
      </c>
      <c r="G98" s="268"/>
      <c r="H98" s="429">
        <f>SUM(H99:H101)+H106</f>
        <v>221159</v>
      </c>
      <c r="I98" s="429">
        <f t="shared" ref="I98" si="46">SUM(I99:I101)+I106</f>
        <v>223167</v>
      </c>
      <c r="J98" s="995">
        <f t="shared" si="30"/>
        <v>100.90794405834716</v>
      </c>
      <c r="K98" s="335"/>
      <c r="L98" s="432">
        <f>SUM(L100:L108)</f>
        <v>23959</v>
      </c>
      <c r="M98" s="432">
        <f t="shared" ref="M98" si="47">SUM(M100:M108)</f>
        <v>23495</v>
      </c>
      <c r="N98" s="1035">
        <f t="shared" si="34"/>
        <v>98.063358236988179</v>
      </c>
      <c r="O98" s="544"/>
      <c r="P98" s="331">
        <f t="shared" si="22"/>
        <v>245118</v>
      </c>
      <c r="Q98" s="331">
        <f t="shared" si="39"/>
        <v>246662</v>
      </c>
      <c r="R98" s="982">
        <f t="shared" si="31"/>
        <v>100.62990070088691</v>
      </c>
    </row>
    <row r="99" spans="2:18" ht="12" customHeight="1" x14ac:dyDescent="0.2">
      <c r="B99" s="172">
        <f t="shared" si="45"/>
        <v>94</v>
      </c>
      <c r="C99" s="142"/>
      <c r="D99" s="143"/>
      <c r="E99" s="143"/>
      <c r="F99" s="143" t="s">
        <v>211</v>
      </c>
      <c r="G99" s="201" t="s">
        <v>506</v>
      </c>
      <c r="H99" s="387">
        <f>121210+5977-445</f>
        <v>126742</v>
      </c>
      <c r="I99" s="387">
        <v>127756</v>
      </c>
      <c r="J99" s="965">
        <f t="shared" si="30"/>
        <v>100.8000504962838</v>
      </c>
      <c r="K99" s="145"/>
      <c r="L99" s="141"/>
      <c r="M99" s="141"/>
      <c r="N99" s="1036"/>
      <c r="O99" s="145"/>
      <c r="P99" s="167">
        <f t="shared" si="22"/>
        <v>126742</v>
      </c>
      <c r="Q99" s="167">
        <f t="shared" si="39"/>
        <v>127756</v>
      </c>
      <c r="R99" s="982">
        <f t="shared" si="31"/>
        <v>100.8000504962838</v>
      </c>
    </row>
    <row r="100" spans="2:18" ht="12" customHeight="1" x14ac:dyDescent="0.2">
      <c r="B100" s="172">
        <f t="shared" si="45"/>
        <v>95</v>
      </c>
      <c r="C100" s="142"/>
      <c r="D100" s="143"/>
      <c r="E100" s="143"/>
      <c r="F100" s="143" t="s">
        <v>212</v>
      </c>
      <c r="G100" s="201" t="s">
        <v>259</v>
      </c>
      <c r="H100" s="387">
        <f>44797+2207-106</f>
        <v>46898</v>
      </c>
      <c r="I100" s="387">
        <v>46705</v>
      </c>
      <c r="J100" s="965">
        <f t="shared" si="30"/>
        <v>99.588468591411157</v>
      </c>
      <c r="K100" s="145"/>
      <c r="L100" s="141"/>
      <c r="M100" s="141"/>
      <c r="N100" s="1036"/>
      <c r="O100" s="145"/>
      <c r="P100" s="167">
        <f t="shared" si="22"/>
        <v>46898</v>
      </c>
      <c r="Q100" s="167">
        <f t="shared" si="39"/>
        <v>46705</v>
      </c>
      <c r="R100" s="982">
        <f t="shared" si="31"/>
        <v>99.588468591411157</v>
      </c>
    </row>
    <row r="101" spans="2:18" ht="12" customHeight="1" x14ac:dyDescent="0.2">
      <c r="B101" s="172">
        <f t="shared" si="45"/>
        <v>96</v>
      </c>
      <c r="C101" s="142"/>
      <c r="D101" s="143"/>
      <c r="E101" s="143"/>
      <c r="F101" s="143" t="s">
        <v>218</v>
      </c>
      <c r="G101" s="201" t="s">
        <v>341</v>
      </c>
      <c r="H101" s="387">
        <f>SUM(H102:H105)</f>
        <v>46259</v>
      </c>
      <c r="I101" s="387">
        <f t="shared" ref="I101" si="48">SUM(I102:I105)</f>
        <v>48267</v>
      </c>
      <c r="J101" s="965">
        <f t="shared" si="30"/>
        <v>104.34077692989472</v>
      </c>
      <c r="K101" s="145"/>
      <c r="L101" s="141"/>
      <c r="M101" s="141"/>
      <c r="N101" s="1036"/>
      <c r="O101" s="145"/>
      <c r="P101" s="167">
        <f t="shared" si="22"/>
        <v>46259</v>
      </c>
      <c r="Q101" s="167">
        <f t="shared" si="39"/>
        <v>48267</v>
      </c>
      <c r="R101" s="982">
        <f t="shared" si="31"/>
        <v>104.34077692989472</v>
      </c>
    </row>
    <row r="102" spans="2:18" ht="12" customHeight="1" x14ac:dyDescent="0.2">
      <c r="B102" s="172">
        <f t="shared" si="45"/>
        <v>97</v>
      </c>
      <c r="C102" s="142"/>
      <c r="D102" s="127"/>
      <c r="E102" s="127"/>
      <c r="F102" s="127" t="s">
        <v>199</v>
      </c>
      <c r="G102" s="193" t="s">
        <v>319</v>
      </c>
      <c r="H102" s="570">
        <f>32100-448</f>
        <v>31652</v>
      </c>
      <c r="I102" s="570">
        <v>29210</v>
      </c>
      <c r="J102" s="966">
        <f t="shared" si="30"/>
        <v>92.28484771894351</v>
      </c>
      <c r="K102" s="145"/>
      <c r="L102" s="141"/>
      <c r="M102" s="141"/>
      <c r="N102" s="1036"/>
      <c r="O102" s="145"/>
      <c r="P102" s="168">
        <f t="shared" si="22"/>
        <v>31652</v>
      </c>
      <c r="Q102" s="168">
        <f t="shared" si="39"/>
        <v>29210</v>
      </c>
      <c r="R102" s="983">
        <f t="shared" si="31"/>
        <v>92.28484771894351</v>
      </c>
    </row>
    <row r="103" spans="2:18" ht="12" customHeight="1" x14ac:dyDescent="0.2">
      <c r="B103" s="172">
        <f t="shared" si="45"/>
        <v>98</v>
      </c>
      <c r="C103" s="142"/>
      <c r="D103" s="127"/>
      <c r="E103" s="127"/>
      <c r="F103" s="127" t="s">
        <v>200</v>
      </c>
      <c r="G103" s="193" t="s">
        <v>247</v>
      </c>
      <c r="H103" s="570">
        <f>10600+500-1191</f>
        <v>9909</v>
      </c>
      <c r="I103" s="570">
        <v>13617</v>
      </c>
      <c r="J103" s="966">
        <f t="shared" si="30"/>
        <v>137.4205267938238</v>
      </c>
      <c r="K103" s="145"/>
      <c r="L103" s="141"/>
      <c r="M103" s="141"/>
      <c r="N103" s="1036"/>
      <c r="O103" s="145"/>
      <c r="P103" s="168">
        <f t="shared" si="22"/>
        <v>9909</v>
      </c>
      <c r="Q103" s="168">
        <f t="shared" si="39"/>
        <v>13617</v>
      </c>
      <c r="R103" s="983">
        <f t="shared" si="31"/>
        <v>137.4205267938238</v>
      </c>
    </row>
    <row r="104" spans="2:18" ht="12" customHeight="1" x14ac:dyDescent="0.2">
      <c r="B104" s="172">
        <f t="shared" si="45"/>
        <v>99</v>
      </c>
      <c r="C104" s="142"/>
      <c r="D104" s="127"/>
      <c r="E104" s="146"/>
      <c r="F104" s="127" t="s">
        <v>214</v>
      </c>
      <c r="G104" s="193" t="s">
        <v>261</v>
      </c>
      <c r="H104" s="570">
        <f>150+448</f>
        <v>598</v>
      </c>
      <c r="I104" s="570">
        <v>948</v>
      </c>
      <c r="J104" s="966">
        <f t="shared" si="30"/>
        <v>158.52842809364549</v>
      </c>
      <c r="K104" s="145"/>
      <c r="L104" s="141"/>
      <c r="M104" s="141"/>
      <c r="N104" s="1036"/>
      <c r="O104" s="145"/>
      <c r="P104" s="168">
        <f t="shared" si="22"/>
        <v>598</v>
      </c>
      <c r="Q104" s="168">
        <f t="shared" si="39"/>
        <v>948</v>
      </c>
      <c r="R104" s="983">
        <f t="shared" si="31"/>
        <v>158.52842809364549</v>
      </c>
    </row>
    <row r="105" spans="2:18" x14ac:dyDescent="0.2">
      <c r="B105" s="172">
        <f t="shared" si="45"/>
        <v>100</v>
      </c>
      <c r="C105" s="142"/>
      <c r="D105" s="127"/>
      <c r="E105" s="146"/>
      <c r="F105" s="127" t="s">
        <v>216</v>
      </c>
      <c r="G105" s="193" t="s">
        <v>248</v>
      </c>
      <c r="H105" s="570">
        <v>4100</v>
      </c>
      <c r="I105" s="570">
        <v>4492</v>
      </c>
      <c r="J105" s="966">
        <f t="shared" si="30"/>
        <v>109.5609756097561</v>
      </c>
      <c r="K105" s="145"/>
      <c r="L105" s="141"/>
      <c r="M105" s="141"/>
      <c r="N105" s="1036"/>
      <c r="O105" s="145"/>
      <c r="P105" s="168">
        <f t="shared" si="22"/>
        <v>4100</v>
      </c>
      <c r="Q105" s="168">
        <f t="shared" si="39"/>
        <v>4492</v>
      </c>
      <c r="R105" s="983">
        <f t="shared" si="31"/>
        <v>109.5609756097561</v>
      </c>
    </row>
    <row r="106" spans="2:18" x14ac:dyDescent="0.2">
      <c r="B106" s="172">
        <f t="shared" si="45"/>
        <v>101</v>
      </c>
      <c r="C106" s="142"/>
      <c r="D106" s="127"/>
      <c r="E106" s="146"/>
      <c r="F106" s="286" t="s">
        <v>653</v>
      </c>
      <c r="G106" s="201" t="s">
        <v>666</v>
      </c>
      <c r="H106" s="387">
        <v>1260</v>
      </c>
      <c r="I106" s="387">
        <v>439</v>
      </c>
      <c r="J106" s="965">
        <f t="shared" si="30"/>
        <v>34.841269841269842</v>
      </c>
      <c r="K106" s="145"/>
      <c r="L106" s="141"/>
      <c r="M106" s="141"/>
      <c r="N106" s="1036"/>
      <c r="O106" s="145"/>
      <c r="P106" s="167">
        <f t="shared" si="22"/>
        <v>1260</v>
      </c>
      <c r="Q106" s="167">
        <f t="shared" si="39"/>
        <v>439</v>
      </c>
      <c r="R106" s="982">
        <f t="shared" si="31"/>
        <v>34.841269841269842</v>
      </c>
    </row>
    <row r="107" spans="2:18" x14ac:dyDescent="0.2">
      <c r="B107" s="172">
        <f t="shared" si="45"/>
        <v>102</v>
      </c>
      <c r="C107" s="142"/>
      <c r="D107" s="127"/>
      <c r="E107" s="146"/>
      <c r="F107" s="292" t="s">
        <v>322</v>
      </c>
      <c r="G107" s="193" t="s">
        <v>668</v>
      </c>
      <c r="H107" s="570"/>
      <c r="I107" s="570"/>
      <c r="J107" s="966"/>
      <c r="K107" s="145"/>
      <c r="L107" s="141">
        <f>4000-41</f>
        <v>3959</v>
      </c>
      <c r="M107" s="141">
        <v>3959</v>
      </c>
      <c r="N107" s="1036">
        <f t="shared" si="34"/>
        <v>100</v>
      </c>
      <c r="O107" s="145"/>
      <c r="P107" s="168">
        <f t="shared" si="22"/>
        <v>3959</v>
      </c>
      <c r="Q107" s="168">
        <f t="shared" si="39"/>
        <v>3959</v>
      </c>
      <c r="R107" s="983">
        <f t="shared" si="31"/>
        <v>100</v>
      </c>
    </row>
    <row r="108" spans="2:18" x14ac:dyDescent="0.2">
      <c r="B108" s="172">
        <f t="shared" si="45"/>
        <v>103</v>
      </c>
      <c r="C108" s="142"/>
      <c r="D108" s="127"/>
      <c r="E108" s="146"/>
      <c r="F108" s="292" t="s">
        <v>322</v>
      </c>
      <c r="G108" s="193" t="s">
        <v>857</v>
      </c>
      <c r="H108" s="570"/>
      <c r="I108" s="570"/>
      <c r="J108" s="966"/>
      <c r="K108" s="145"/>
      <c r="L108" s="141">
        <v>20000</v>
      </c>
      <c r="M108" s="141">
        <v>19536</v>
      </c>
      <c r="N108" s="1036">
        <f t="shared" si="34"/>
        <v>97.68</v>
      </c>
      <c r="O108" s="145"/>
      <c r="P108" s="168">
        <f t="shared" ref="P108" si="49">H108+L108</f>
        <v>20000</v>
      </c>
      <c r="Q108" s="168">
        <f t="shared" si="39"/>
        <v>19536</v>
      </c>
      <c r="R108" s="983">
        <f t="shared" si="31"/>
        <v>97.68</v>
      </c>
    </row>
    <row r="109" spans="2:18" ht="15" x14ac:dyDescent="0.25">
      <c r="B109" s="172">
        <f t="shared" si="45"/>
        <v>104</v>
      </c>
      <c r="C109" s="142"/>
      <c r="D109" s="29" t="s">
        <v>357</v>
      </c>
      <c r="E109" s="175" t="s">
        <v>290</v>
      </c>
      <c r="F109" s="147" t="s">
        <v>356</v>
      </c>
      <c r="G109" s="238"/>
      <c r="H109" s="427">
        <f>SUM(H110:H112)+H117</f>
        <v>139331</v>
      </c>
      <c r="I109" s="427">
        <f t="shared" ref="I109" si="50">SUM(I110:I112)+I117</f>
        <v>138457</v>
      </c>
      <c r="J109" s="965">
        <f t="shared" si="30"/>
        <v>99.372716767984144</v>
      </c>
      <c r="K109" s="335"/>
      <c r="L109" s="585">
        <f>SUM(L110:L118)</f>
        <v>28041</v>
      </c>
      <c r="M109" s="585">
        <f t="shared" ref="M109" si="51">SUM(M110:M118)</f>
        <v>27970</v>
      </c>
      <c r="N109" s="1035">
        <f t="shared" si="34"/>
        <v>99.746799329553156</v>
      </c>
      <c r="O109" s="335"/>
      <c r="P109" s="331">
        <f t="shared" si="22"/>
        <v>167372</v>
      </c>
      <c r="Q109" s="331">
        <f t="shared" si="39"/>
        <v>166427</v>
      </c>
      <c r="R109" s="982">
        <f t="shared" si="31"/>
        <v>99.435389431924094</v>
      </c>
    </row>
    <row r="110" spans="2:18" ht="12" customHeight="1" x14ac:dyDescent="0.2">
      <c r="B110" s="172">
        <f t="shared" si="45"/>
        <v>105</v>
      </c>
      <c r="C110" s="142"/>
      <c r="D110" s="143"/>
      <c r="E110" s="143"/>
      <c r="F110" s="143" t="s">
        <v>211</v>
      </c>
      <c r="G110" s="201" t="s">
        <v>506</v>
      </c>
      <c r="H110" s="387">
        <f>80080+3920-100-176-840</f>
        <v>82884</v>
      </c>
      <c r="I110" s="387">
        <v>82860</v>
      </c>
      <c r="J110" s="965">
        <f t="shared" si="30"/>
        <v>99.971043868539169</v>
      </c>
      <c r="K110" s="145"/>
      <c r="L110" s="141"/>
      <c r="M110" s="141"/>
      <c r="N110" s="1036"/>
      <c r="O110" s="145"/>
      <c r="P110" s="167">
        <f t="shared" si="22"/>
        <v>82884</v>
      </c>
      <c r="Q110" s="167">
        <f t="shared" si="39"/>
        <v>82860</v>
      </c>
      <c r="R110" s="982">
        <f t="shared" si="31"/>
        <v>99.971043868539169</v>
      </c>
    </row>
    <row r="111" spans="2:18" ht="12" customHeight="1" x14ac:dyDescent="0.2">
      <c r="B111" s="172">
        <f t="shared" si="45"/>
        <v>106</v>
      </c>
      <c r="C111" s="142"/>
      <c r="D111" s="143"/>
      <c r="E111" s="143"/>
      <c r="F111" s="143" t="s">
        <v>212</v>
      </c>
      <c r="G111" s="201" t="s">
        <v>259</v>
      </c>
      <c r="H111" s="387">
        <f>29939+1464-418-330</f>
        <v>30655</v>
      </c>
      <c r="I111" s="387">
        <v>30679</v>
      </c>
      <c r="J111" s="965">
        <f t="shared" si="30"/>
        <v>100.07829065405318</v>
      </c>
      <c r="K111" s="145"/>
      <c r="L111" s="141"/>
      <c r="M111" s="141"/>
      <c r="N111" s="1036"/>
      <c r="O111" s="145"/>
      <c r="P111" s="167">
        <f t="shared" si="22"/>
        <v>30655</v>
      </c>
      <c r="Q111" s="167">
        <f t="shared" si="39"/>
        <v>30679</v>
      </c>
      <c r="R111" s="982">
        <f t="shared" si="31"/>
        <v>100.07829065405318</v>
      </c>
    </row>
    <row r="112" spans="2:18" ht="12" customHeight="1" x14ac:dyDescent="0.2">
      <c r="B112" s="172">
        <f t="shared" si="45"/>
        <v>107</v>
      </c>
      <c r="C112" s="142"/>
      <c r="D112" s="143"/>
      <c r="E112" s="143"/>
      <c r="F112" s="143" t="s">
        <v>218</v>
      </c>
      <c r="G112" s="201" t="s">
        <v>341</v>
      </c>
      <c r="H112" s="387">
        <f>SUM(H113:H116)</f>
        <v>25616</v>
      </c>
      <c r="I112" s="387">
        <f t="shared" ref="I112" si="52">SUM(I113:I116)</f>
        <v>24742</v>
      </c>
      <c r="J112" s="965">
        <f t="shared" si="30"/>
        <v>96.588069956277323</v>
      </c>
      <c r="K112" s="145"/>
      <c r="L112" s="141"/>
      <c r="M112" s="141"/>
      <c r="N112" s="1036"/>
      <c r="O112" s="145"/>
      <c r="P112" s="167">
        <f t="shared" si="22"/>
        <v>25616</v>
      </c>
      <c r="Q112" s="167">
        <f t="shared" si="39"/>
        <v>24742</v>
      </c>
      <c r="R112" s="982">
        <f t="shared" si="31"/>
        <v>96.588069956277323</v>
      </c>
    </row>
    <row r="113" spans="2:18" ht="12" customHeight="1" x14ac:dyDescent="0.2">
      <c r="B113" s="172">
        <f t="shared" si="45"/>
        <v>108</v>
      </c>
      <c r="C113" s="142"/>
      <c r="D113" s="127"/>
      <c r="E113" s="127"/>
      <c r="F113" s="127" t="s">
        <v>199</v>
      </c>
      <c r="G113" s="193" t="s">
        <v>319</v>
      </c>
      <c r="H113" s="570">
        <f>15970-1290</f>
        <v>14680</v>
      </c>
      <c r="I113" s="570">
        <v>13528</v>
      </c>
      <c r="J113" s="966">
        <f t="shared" si="30"/>
        <v>92.152588555858301</v>
      </c>
      <c r="K113" s="145"/>
      <c r="L113" s="141"/>
      <c r="M113" s="141"/>
      <c r="N113" s="1036"/>
      <c r="O113" s="145"/>
      <c r="P113" s="168">
        <f t="shared" si="22"/>
        <v>14680</v>
      </c>
      <c r="Q113" s="168">
        <f t="shared" si="39"/>
        <v>13528</v>
      </c>
      <c r="R113" s="983">
        <f t="shared" si="31"/>
        <v>92.152588555858301</v>
      </c>
    </row>
    <row r="114" spans="2:18" ht="12" customHeight="1" x14ac:dyDescent="0.2">
      <c r="B114" s="172">
        <f t="shared" si="45"/>
        <v>109</v>
      </c>
      <c r="C114" s="142"/>
      <c r="D114" s="127"/>
      <c r="E114" s="127"/>
      <c r="F114" s="127" t="s">
        <v>200</v>
      </c>
      <c r="G114" s="193" t="s">
        <v>247</v>
      </c>
      <c r="H114" s="570">
        <f>5320+1276</f>
        <v>6596</v>
      </c>
      <c r="I114" s="570">
        <v>6991</v>
      </c>
      <c r="J114" s="966">
        <f t="shared" si="30"/>
        <v>105.98847786537296</v>
      </c>
      <c r="K114" s="145"/>
      <c r="L114" s="141"/>
      <c r="M114" s="141"/>
      <c r="N114" s="1036"/>
      <c r="O114" s="145"/>
      <c r="P114" s="168">
        <f t="shared" si="22"/>
        <v>6596</v>
      </c>
      <c r="Q114" s="168">
        <f t="shared" si="39"/>
        <v>6991</v>
      </c>
      <c r="R114" s="983">
        <f t="shared" si="31"/>
        <v>105.98847786537296</v>
      </c>
    </row>
    <row r="115" spans="2:18" ht="12" customHeight="1" x14ac:dyDescent="0.2">
      <c r="B115" s="172">
        <f t="shared" si="45"/>
        <v>110</v>
      </c>
      <c r="C115" s="142"/>
      <c r="D115" s="127"/>
      <c r="E115" s="146"/>
      <c r="F115" s="127" t="s">
        <v>214</v>
      </c>
      <c r="G115" s="193" t="s">
        <v>261</v>
      </c>
      <c r="H115" s="570">
        <f>150+1290</f>
        <v>1440</v>
      </c>
      <c r="I115" s="570">
        <v>1440</v>
      </c>
      <c r="J115" s="966">
        <f t="shared" si="30"/>
        <v>100</v>
      </c>
      <c r="K115" s="145"/>
      <c r="L115" s="141"/>
      <c r="M115" s="141"/>
      <c r="N115" s="1036"/>
      <c r="O115" s="145"/>
      <c r="P115" s="168">
        <f t="shared" si="22"/>
        <v>1440</v>
      </c>
      <c r="Q115" s="168">
        <f t="shared" si="39"/>
        <v>1440</v>
      </c>
      <c r="R115" s="983">
        <f t="shared" si="31"/>
        <v>100</v>
      </c>
    </row>
    <row r="116" spans="2:18" x14ac:dyDescent="0.2">
      <c r="B116" s="172">
        <f t="shared" si="45"/>
        <v>111</v>
      </c>
      <c r="C116" s="142"/>
      <c r="D116" s="127"/>
      <c r="E116" s="146"/>
      <c r="F116" s="127" t="s">
        <v>216</v>
      </c>
      <c r="G116" s="193" t="s">
        <v>248</v>
      </c>
      <c r="H116" s="570">
        <v>2900</v>
      </c>
      <c r="I116" s="570">
        <v>2783</v>
      </c>
      <c r="J116" s="966">
        <f t="shared" si="30"/>
        <v>95.965517241379303</v>
      </c>
      <c r="K116" s="145"/>
      <c r="L116" s="141"/>
      <c r="M116" s="141"/>
      <c r="N116" s="1036"/>
      <c r="O116" s="145"/>
      <c r="P116" s="168">
        <f t="shared" si="22"/>
        <v>2900</v>
      </c>
      <c r="Q116" s="168">
        <f t="shared" si="39"/>
        <v>2783</v>
      </c>
      <c r="R116" s="983">
        <f t="shared" si="31"/>
        <v>95.965517241379303</v>
      </c>
    </row>
    <row r="117" spans="2:18" x14ac:dyDescent="0.2">
      <c r="B117" s="172">
        <f t="shared" si="45"/>
        <v>112</v>
      </c>
      <c r="C117" s="142"/>
      <c r="D117" s="127"/>
      <c r="E117" s="146"/>
      <c r="F117" s="452" t="s">
        <v>653</v>
      </c>
      <c r="G117" s="201" t="s">
        <v>666</v>
      </c>
      <c r="H117" s="387">
        <v>176</v>
      </c>
      <c r="I117" s="387">
        <v>176</v>
      </c>
      <c r="J117" s="965">
        <f t="shared" si="30"/>
        <v>100</v>
      </c>
      <c r="K117" s="145"/>
      <c r="L117" s="394"/>
      <c r="M117" s="394"/>
      <c r="N117" s="1035"/>
      <c r="O117" s="145"/>
      <c r="P117" s="167">
        <f t="shared" ref="P117" si="53">H117+L117</f>
        <v>176</v>
      </c>
      <c r="Q117" s="167">
        <f t="shared" si="39"/>
        <v>176</v>
      </c>
      <c r="R117" s="982">
        <f t="shared" si="31"/>
        <v>100</v>
      </c>
    </row>
    <row r="118" spans="2:18" x14ac:dyDescent="0.2">
      <c r="B118" s="172">
        <f t="shared" si="45"/>
        <v>113</v>
      </c>
      <c r="C118" s="142"/>
      <c r="D118" s="127"/>
      <c r="E118" s="146"/>
      <c r="F118" s="452" t="s">
        <v>322</v>
      </c>
      <c r="G118" s="201" t="s">
        <v>550</v>
      </c>
      <c r="H118" s="570"/>
      <c r="I118" s="570"/>
      <c r="J118" s="966"/>
      <c r="K118" s="145"/>
      <c r="L118" s="394">
        <f>28000-1959+2000</f>
        <v>28041</v>
      </c>
      <c r="M118" s="394">
        <v>27970</v>
      </c>
      <c r="N118" s="1035">
        <f t="shared" si="34"/>
        <v>99.746799329553156</v>
      </c>
      <c r="O118" s="145"/>
      <c r="P118" s="167">
        <f t="shared" si="22"/>
        <v>28041</v>
      </c>
      <c r="Q118" s="167">
        <f t="shared" si="39"/>
        <v>27970</v>
      </c>
      <c r="R118" s="982">
        <f t="shared" si="31"/>
        <v>99.746799329553156</v>
      </c>
    </row>
    <row r="119" spans="2:18" ht="15" x14ac:dyDescent="0.25">
      <c r="B119" s="172">
        <f t="shared" si="45"/>
        <v>114</v>
      </c>
      <c r="C119" s="142"/>
      <c r="D119" s="29" t="s">
        <v>359</v>
      </c>
      <c r="E119" s="175" t="s">
        <v>290</v>
      </c>
      <c r="F119" s="147" t="s">
        <v>358</v>
      </c>
      <c r="G119" s="238"/>
      <c r="H119" s="427">
        <f>SUM(H120:H122)+H127</f>
        <v>65642</v>
      </c>
      <c r="I119" s="427">
        <f t="shared" ref="I119" si="54">SUM(I120:I122)+I127</f>
        <v>67264</v>
      </c>
      <c r="J119" s="965">
        <f t="shared" si="30"/>
        <v>102.47097894640626</v>
      </c>
      <c r="K119" s="335"/>
      <c r="L119" s="433"/>
      <c r="M119" s="433"/>
      <c r="N119" s="1036"/>
      <c r="O119" s="335"/>
      <c r="P119" s="331">
        <f t="shared" si="22"/>
        <v>65642</v>
      </c>
      <c r="Q119" s="331">
        <f t="shared" si="39"/>
        <v>67264</v>
      </c>
      <c r="R119" s="982">
        <f t="shared" si="31"/>
        <v>102.47097894640626</v>
      </c>
    </row>
    <row r="120" spans="2:18" ht="12" customHeight="1" x14ac:dyDescent="0.2">
      <c r="B120" s="172">
        <f t="shared" si="45"/>
        <v>115</v>
      </c>
      <c r="C120" s="142"/>
      <c r="D120" s="143"/>
      <c r="E120" s="143"/>
      <c r="F120" s="143" t="s">
        <v>211</v>
      </c>
      <c r="G120" s="201" t="s">
        <v>506</v>
      </c>
      <c r="H120" s="387">
        <f>38350+1876+4-107</f>
        <v>40123</v>
      </c>
      <c r="I120" s="387">
        <v>40529</v>
      </c>
      <c r="J120" s="965">
        <f t="shared" si="30"/>
        <v>101.01188844303766</v>
      </c>
      <c r="K120" s="145"/>
      <c r="L120" s="141"/>
      <c r="M120" s="141"/>
      <c r="N120" s="1036"/>
      <c r="O120" s="145"/>
      <c r="P120" s="167">
        <f t="shared" si="22"/>
        <v>40123</v>
      </c>
      <c r="Q120" s="167">
        <f t="shared" si="39"/>
        <v>40529</v>
      </c>
      <c r="R120" s="982">
        <f t="shared" si="31"/>
        <v>101.01188844303766</v>
      </c>
    </row>
    <row r="121" spans="2:18" ht="12" customHeight="1" x14ac:dyDescent="0.2">
      <c r="B121" s="172">
        <f t="shared" si="45"/>
        <v>116</v>
      </c>
      <c r="C121" s="142"/>
      <c r="D121" s="143"/>
      <c r="E121" s="143"/>
      <c r="F121" s="143" t="s">
        <v>212</v>
      </c>
      <c r="G121" s="201" t="s">
        <v>259</v>
      </c>
      <c r="H121" s="387">
        <f>14039+685-251</f>
        <v>14473</v>
      </c>
      <c r="I121" s="387">
        <v>14068</v>
      </c>
      <c r="J121" s="965">
        <f t="shared" si="30"/>
        <v>97.201685897878804</v>
      </c>
      <c r="K121" s="145"/>
      <c r="L121" s="141"/>
      <c r="M121" s="141"/>
      <c r="N121" s="1036"/>
      <c r="O121" s="145"/>
      <c r="P121" s="167">
        <f>H121+L121</f>
        <v>14473</v>
      </c>
      <c r="Q121" s="167">
        <f t="shared" si="39"/>
        <v>14068</v>
      </c>
      <c r="R121" s="982">
        <f t="shared" si="31"/>
        <v>97.201685897878804</v>
      </c>
    </row>
    <row r="122" spans="2:18" ht="12" customHeight="1" x14ac:dyDescent="0.2">
      <c r="B122" s="172">
        <f t="shared" si="45"/>
        <v>117</v>
      </c>
      <c r="C122" s="142"/>
      <c r="D122" s="143"/>
      <c r="E122" s="143"/>
      <c r="F122" s="143" t="s">
        <v>218</v>
      </c>
      <c r="G122" s="201" t="s">
        <v>341</v>
      </c>
      <c r="H122" s="387">
        <f>SUM(H123:H126)</f>
        <v>10939</v>
      </c>
      <c r="I122" s="387">
        <f t="shared" ref="I122" si="55">SUM(I123:I126)</f>
        <v>12560</v>
      </c>
      <c r="J122" s="965">
        <f t="shared" si="30"/>
        <v>114.81853917177074</v>
      </c>
      <c r="K122" s="145"/>
      <c r="L122" s="141"/>
      <c r="M122" s="141"/>
      <c r="N122" s="1036"/>
      <c r="O122" s="145"/>
      <c r="P122" s="167">
        <f>H122+L122</f>
        <v>10939</v>
      </c>
      <c r="Q122" s="167">
        <f t="shared" si="39"/>
        <v>12560</v>
      </c>
      <c r="R122" s="982">
        <f t="shared" si="31"/>
        <v>114.81853917177074</v>
      </c>
    </row>
    <row r="123" spans="2:18" ht="12" customHeight="1" x14ac:dyDescent="0.2">
      <c r="B123" s="172">
        <f t="shared" si="45"/>
        <v>118</v>
      </c>
      <c r="C123" s="142"/>
      <c r="D123" s="127"/>
      <c r="E123" s="127"/>
      <c r="F123" s="127" t="s">
        <v>199</v>
      </c>
      <c r="G123" s="193" t="s">
        <v>319</v>
      </c>
      <c r="H123" s="570">
        <f>5960+1110</f>
        <v>7070</v>
      </c>
      <c r="I123" s="570">
        <v>7325</v>
      </c>
      <c r="J123" s="966">
        <f t="shared" si="30"/>
        <v>103.6067892503536</v>
      </c>
      <c r="K123" s="145"/>
      <c r="L123" s="141"/>
      <c r="M123" s="141"/>
      <c r="N123" s="1036"/>
      <c r="O123" s="145"/>
      <c r="P123" s="168">
        <f>H123+L123</f>
        <v>7070</v>
      </c>
      <c r="Q123" s="168">
        <f t="shared" si="39"/>
        <v>7325</v>
      </c>
      <c r="R123" s="983">
        <f t="shared" si="31"/>
        <v>103.6067892503536</v>
      </c>
    </row>
    <row r="124" spans="2:18" ht="12" customHeight="1" x14ac:dyDescent="0.2">
      <c r="B124" s="172">
        <f t="shared" si="45"/>
        <v>119</v>
      </c>
      <c r="C124" s="142"/>
      <c r="D124" s="127"/>
      <c r="E124" s="127"/>
      <c r="F124" s="127" t="s">
        <v>200</v>
      </c>
      <c r="G124" s="193" t="s">
        <v>247</v>
      </c>
      <c r="H124" s="570">
        <f>3760-910-321</f>
        <v>2529</v>
      </c>
      <c r="I124" s="570">
        <v>3506</v>
      </c>
      <c r="J124" s="966">
        <f t="shared" si="30"/>
        <v>138.63187030446818</v>
      </c>
      <c r="K124" s="145"/>
      <c r="L124" s="141"/>
      <c r="M124" s="141"/>
      <c r="N124" s="1036"/>
      <c r="O124" s="145"/>
      <c r="P124" s="168">
        <f>H124+L124</f>
        <v>2529</v>
      </c>
      <c r="Q124" s="168">
        <f t="shared" si="39"/>
        <v>3506</v>
      </c>
      <c r="R124" s="983">
        <f t="shared" si="31"/>
        <v>138.63187030446818</v>
      </c>
    </row>
    <row r="125" spans="2:18" ht="12" customHeight="1" x14ac:dyDescent="0.2">
      <c r="B125" s="172">
        <f t="shared" si="45"/>
        <v>120</v>
      </c>
      <c r="C125" s="142"/>
      <c r="D125" s="127"/>
      <c r="E125" s="179"/>
      <c r="F125" s="127" t="s">
        <v>214</v>
      </c>
      <c r="G125" s="193" t="s">
        <v>261</v>
      </c>
      <c r="H125" s="570"/>
      <c r="I125" s="570">
        <v>8</v>
      </c>
      <c r="J125" s="966"/>
      <c r="K125" s="145"/>
      <c r="L125" s="141"/>
      <c r="M125" s="141"/>
      <c r="N125" s="1036"/>
      <c r="O125" s="145"/>
      <c r="P125" s="168"/>
      <c r="Q125" s="168">
        <f t="shared" si="39"/>
        <v>8</v>
      </c>
      <c r="R125" s="983"/>
    </row>
    <row r="126" spans="2:18" x14ac:dyDescent="0.2">
      <c r="B126" s="172">
        <f t="shared" si="45"/>
        <v>121</v>
      </c>
      <c r="C126" s="142"/>
      <c r="D126" s="127"/>
      <c r="E126" s="146"/>
      <c r="F126" s="127" t="s">
        <v>216</v>
      </c>
      <c r="G126" s="193" t="s">
        <v>248</v>
      </c>
      <c r="H126" s="570">
        <f>1540-200</f>
        <v>1340</v>
      </c>
      <c r="I126" s="570">
        <v>1721</v>
      </c>
      <c r="J126" s="966">
        <f t="shared" si="30"/>
        <v>128.43283582089552</v>
      </c>
      <c r="K126" s="145"/>
      <c r="L126" s="141"/>
      <c r="M126" s="141"/>
      <c r="N126" s="1036"/>
      <c r="O126" s="145"/>
      <c r="P126" s="168">
        <f>H126+L126</f>
        <v>1340</v>
      </c>
      <c r="Q126" s="168">
        <f t="shared" si="39"/>
        <v>1721</v>
      </c>
      <c r="R126" s="983">
        <f t="shared" si="31"/>
        <v>128.43283582089552</v>
      </c>
    </row>
    <row r="127" spans="2:18" x14ac:dyDescent="0.2">
      <c r="B127" s="172">
        <f t="shared" si="45"/>
        <v>122</v>
      </c>
      <c r="C127" s="142"/>
      <c r="D127" s="127"/>
      <c r="E127" s="146"/>
      <c r="F127" s="286" t="s">
        <v>653</v>
      </c>
      <c r="G127" s="201" t="s">
        <v>666</v>
      </c>
      <c r="H127" s="387">
        <v>107</v>
      </c>
      <c r="I127" s="387">
        <v>107</v>
      </c>
      <c r="J127" s="965">
        <f t="shared" si="30"/>
        <v>100</v>
      </c>
      <c r="K127" s="145"/>
      <c r="L127" s="394"/>
      <c r="M127" s="394"/>
      <c r="N127" s="1035"/>
      <c r="O127" s="145"/>
      <c r="P127" s="167">
        <f t="shared" ref="P127" si="56">H127+L127</f>
        <v>107</v>
      </c>
      <c r="Q127" s="167">
        <f t="shared" si="39"/>
        <v>107</v>
      </c>
      <c r="R127" s="982">
        <f t="shared" si="31"/>
        <v>100</v>
      </c>
    </row>
    <row r="128" spans="2:18" ht="15" x14ac:dyDescent="0.25">
      <c r="B128" s="172">
        <f t="shared" si="45"/>
        <v>123</v>
      </c>
      <c r="C128" s="142"/>
      <c r="D128" s="29" t="s">
        <v>361</v>
      </c>
      <c r="E128" s="175" t="s">
        <v>290</v>
      </c>
      <c r="F128" s="147" t="s">
        <v>360</v>
      </c>
      <c r="G128" s="238"/>
      <c r="H128" s="427">
        <f>SUM(H129:H131)+H136</f>
        <v>93064</v>
      </c>
      <c r="I128" s="427">
        <f t="shared" ref="I128" si="57">SUM(I129:I131)+I136</f>
        <v>90682</v>
      </c>
      <c r="J128" s="965">
        <f t="shared" si="30"/>
        <v>97.440471073669727</v>
      </c>
      <c r="K128" s="335"/>
      <c r="L128" s="432"/>
      <c r="M128" s="432"/>
      <c r="N128" s="1035"/>
      <c r="O128" s="335"/>
      <c r="P128" s="331">
        <f t="shared" ref="P128:P155" si="58">H128+L128</f>
        <v>93064</v>
      </c>
      <c r="Q128" s="331">
        <f t="shared" si="39"/>
        <v>90682</v>
      </c>
      <c r="R128" s="982">
        <f t="shared" si="31"/>
        <v>97.440471073669727</v>
      </c>
    </row>
    <row r="129" spans="2:18" ht="12" customHeight="1" x14ac:dyDescent="0.2">
      <c r="B129" s="172">
        <f t="shared" si="45"/>
        <v>124</v>
      </c>
      <c r="C129" s="142"/>
      <c r="D129" s="143"/>
      <c r="E129" s="143"/>
      <c r="F129" s="143" t="s">
        <v>211</v>
      </c>
      <c r="G129" s="201" t="s">
        <v>506</v>
      </c>
      <c r="H129" s="387">
        <f>51765+2546+1861-120</f>
        <v>56052</v>
      </c>
      <c r="I129" s="387">
        <v>56048</v>
      </c>
      <c r="J129" s="965">
        <f t="shared" si="30"/>
        <v>99.992863769357015</v>
      </c>
      <c r="K129" s="145"/>
      <c r="L129" s="141"/>
      <c r="M129" s="141"/>
      <c r="N129" s="1036"/>
      <c r="O129" s="145"/>
      <c r="P129" s="167">
        <f t="shared" si="58"/>
        <v>56052</v>
      </c>
      <c r="Q129" s="167">
        <f t="shared" si="39"/>
        <v>56048</v>
      </c>
      <c r="R129" s="982">
        <f t="shared" si="31"/>
        <v>99.992863769357015</v>
      </c>
    </row>
    <row r="130" spans="2:18" ht="12" customHeight="1" x14ac:dyDescent="0.2">
      <c r="B130" s="172">
        <f t="shared" si="45"/>
        <v>125</v>
      </c>
      <c r="C130" s="142"/>
      <c r="D130" s="143"/>
      <c r="E130" s="143"/>
      <c r="F130" s="143" t="s">
        <v>212</v>
      </c>
      <c r="G130" s="201" t="s">
        <v>259</v>
      </c>
      <c r="H130" s="387">
        <f>19027+935+910</f>
        <v>20872</v>
      </c>
      <c r="I130" s="387">
        <v>20876</v>
      </c>
      <c r="J130" s="965">
        <f t="shared" si="30"/>
        <v>100.0191644308164</v>
      </c>
      <c r="K130" s="145"/>
      <c r="L130" s="141"/>
      <c r="M130" s="141"/>
      <c r="N130" s="1036"/>
      <c r="O130" s="145"/>
      <c r="P130" s="167">
        <f t="shared" si="58"/>
        <v>20872</v>
      </c>
      <c r="Q130" s="167">
        <f t="shared" si="39"/>
        <v>20876</v>
      </c>
      <c r="R130" s="982">
        <f t="shared" si="31"/>
        <v>100.0191644308164</v>
      </c>
    </row>
    <row r="131" spans="2:18" ht="12" customHeight="1" x14ac:dyDescent="0.2">
      <c r="B131" s="172">
        <f t="shared" si="45"/>
        <v>126</v>
      </c>
      <c r="C131" s="142"/>
      <c r="D131" s="143"/>
      <c r="E131" s="143"/>
      <c r="F131" s="143" t="s">
        <v>218</v>
      </c>
      <c r="G131" s="201" t="s">
        <v>341</v>
      </c>
      <c r="H131" s="387">
        <f>SUM(H132:H135)</f>
        <v>16020</v>
      </c>
      <c r="I131" s="387">
        <f t="shared" ref="I131" si="59">SUM(I132:I135)</f>
        <v>13638</v>
      </c>
      <c r="J131" s="965">
        <f t="shared" si="30"/>
        <v>85.131086142322104</v>
      </c>
      <c r="K131" s="145"/>
      <c r="L131" s="141"/>
      <c r="M131" s="141"/>
      <c r="N131" s="1036"/>
      <c r="O131" s="145"/>
      <c r="P131" s="167">
        <f t="shared" si="58"/>
        <v>16020</v>
      </c>
      <c r="Q131" s="167">
        <f t="shared" si="39"/>
        <v>13638</v>
      </c>
      <c r="R131" s="982">
        <f t="shared" si="31"/>
        <v>85.131086142322104</v>
      </c>
    </row>
    <row r="132" spans="2:18" ht="12" customHeight="1" x14ac:dyDescent="0.2">
      <c r="B132" s="172">
        <f t="shared" si="45"/>
        <v>127</v>
      </c>
      <c r="C132" s="142"/>
      <c r="D132" s="127"/>
      <c r="E132" s="127"/>
      <c r="F132" s="127" t="s">
        <v>199</v>
      </c>
      <c r="G132" s="193" t="s">
        <v>319</v>
      </c>
      <c r="H132" s="570">
        <f>10100-200</f>
        <v>9900</v>
      </c>
      <c r="I132" s="570">
        <v>5302</v>
      </c>
      <c r="J132" s="966">
        <f t="shared" si="30"/>
        <v>53.555555555555557</v>
      </c>
      <c r="K132" s="145"/>
      <c r="L132" s="141"/>
      <c r="M132" s="141"/>
      <c r="N132" s="1036"/>
      <c r="O132" s="145"/>
      <c r="P132" s="168">
        <f t="shared" si="58"/>
        <v>9900</v>
      </c>
      <c r="Q132" s="168">
        <f t="shared" si="39"/>
        <v>5302</v>
      </c>
      <c r="R132" s="983">
        <f t="shared" si="31"/>
        <v>53.555555555555557</v>
      </c>
    </row>
    <row r="133" spans="2:18" ht="12" customHeight="1" x14ac:dyDescent="0.2">
      <c r="B133" s="172">
        <f t="shared" si="45"/>
        <v>128</v>
      </c>
      <c r="C133" s="142"/>
      <c r="D133" s="127"/>
      <c r="E133" s="127"/>
      <c r="F133" s="292" t="s">
        <v>200</v>
      </c>
      <c r="G133" s="193" t="s">
        <v>247</v>
      </c>
      <c r="H133" s="570">
        <f>4130-220</f>
        <v>3910</v>
      </c>
      <c r="I133" s="570">
        <v>4732</v>
      </c>
      <c r="J133" s="966">
        <f t="shared" si="30"/>
        <v>121.02301790281329</v>
      </c>
      <c r="K133" s="145"/>
      <c r="L133" s="141"/>
      <c r="M133" s="141"/>
      <c r="N133" s="1036"/>
      <c r="O133" s="145"/>
      <c r="P133" s="168">
        <f t="shared" si="58"/>
        <v>3910</v>
      </c>
      <c r="Q133" s="168">
        <f t="shared" si="39"/>
        <v>4732</v>
      </c>
      <c r="R133" s="983">
        <f t="shared" si="31"/>
        <v>121.02301790281329</v>
      </c>
    </row>
    <row r="134" spans="2:18" ht="12" customHeight="1" x14ac:dyDescent="0.2">
      <c r="B134" s="172">
        <f t="shared" si="45"/>
        <v>129</v>
      </c>
      <c r="C134" s="142"/>
      <c r="D134" s="127"/>
      <c r="E134" s="146"/>
      <c r="F134" s="127" t="s">
        <v>214</v>
      </c>
      <c r="G134" s="193" t="s">
        <v>261</v>
      </c>
      <c r="H134" s="570">
        <f>150+200</f>
        <v>350</v>
      </c>
      <c r="I134" s="570">
        <v>1255</v>
      </c>
      <c r="J134" s="966">
        <f t="shared" si="30"/>
        <v>358.57142857142861</v>
      </c>
      <c r="K134" s="145"/>
      <c r="L134" s="141"/>
      <c r="M134" s="141"/>
      <c r="N134" s="1036"/>
      <c r="O134" s="145"/>
      <c r="P134" s="168">
        <f t="shared" si="58"/>
        <v>350</v>
      </c>
      <c r="Q134" s="168">
        <f t="shared" si="39"/>
        <v>1255</v>
      </c>
      <c r="R134" s="983">
        <f t="shared" si="31"/>
        <v>358.57142857142861</v>
      </c>
    </row>
    <row r="135" spans="2:18" x14ac:dyDescent="0.2">
      <c r="B135" s="172">
        <f t="shared" si="45"/>
        <v>130</v>
      </c>
      <c r="C135" s="142"/>
      <c r="D135" s="127"/>
      <c r="E135" s="146"/>
      <c r="F135" s="127" t="s">
        <v>216</v>
      </c>
      <c r="G135" s="193" t="s">
        <v>248</v>
      </c>
      <c r="H135" s="381">
        <v>1860</v>
      </c>
      <c r="I135" s="381">
        <v>2349</v>
      </c>
      <c r="J135" s="978">
        <f t="shared" si="30"/>
        <v>126.29032258064517</v>
      </c>
      <c r="K135" s="329"/>
      <c r="L135" s="141"/>
      <c r="M135" s="141"/>
      <c r="N135" s="1036"/>
      <c r="O135" s="329"/>
      <c r="P135" s="168">
        <f t="shared" si="58"/>
        <v>1860</v>
      </c>
      <c r="Q135" s="168">
        <f t="shared" si="39"/>
        <v>2349</v>
      </c>
      <c r="R135" s="983">
        <f t="shared" si="31"/>
        <v>126.29032258064517</v>
      </c>
    </row>
    <row r="136" spans="2:18" x14ac:dyDescent="0.2">
      <c r="B136" s="172">
        <f t="shared" si="45"/>
        <v>131</v>
      </c>
      <c r="C136" s="142"/>
      <c r="D136" s="127"/>
      <c r="E136" s="146"/>
      <c r="F136" s="452" t="s">
        <v>653</v>
      </c>
      <c r="G136" s="201" t="s">
        <v>666</v>
      </c>
      <c r="H136" s="387">
        <v>120</v>
      </c>
      <c r="I136" s="387">
        <v>120</v>
      </c>
      <c r="J136" s="965">
        <f t="shared" ref="J136:J200" si="60">I136/H136*100</f>
        <v>100</v>
      </c>
      <c r="K136" s="145"/>
      <c r="L136" s="394"/>
      <c r="M136" s="394"/>
      <c r="N136" s="1035"/>
      <c r="O136" s="145"/>
      <c r="P136" s="167">
        <f t="shared" si="58"/>
        <v>120</v>
      </c>
      <c r="Q136" s="167">
        <f t="shared" si="39"/>
        <v>120</v>
      </c>
      <c r="R136" s="982">
        <f t="shared" ref="R136:R200" si="61">Q136/P136*100</f>
        <v>100</v>
      </c>
    </row>
    <row r="137" spans="2:18" ht="15" x14ac:dyDescent="0.25">
      <c r="B137" s="172">
        <f t="shared" si="45"/>
        <v>132</v>
      </c>
      <c r="C137" s="142"/>
      <c r="D137" s="29" t="s">
        <v>363</v>
      </c>
      <c r="E137" s="175" t="s">
        <v>290</v>
      </c>
      <c r="F137" s="147" t="s">
        <v>362</v>
      </c>
      <c r="G137" s="238"/>
      <c r="H137" s="427">
        <f>SUM(H138:H140)+H146</f>
        <v>88180</v>
      </c>
      <c r="I137" s="427">
        <f t="shared" ref="I137" si="62">SUM(I138:I140)+I146</f>
        <v>84777</v>
      </c>
      <c r="J137" s="965">
        <f t="shared" si="60"/>
        <v>96.140848264912677</v>
      </c>
      <c r="K137" s="335"/>
      <c r="L137" s="433"/>
      <c r="M137" s="433"/>
      <c r="N137" s="1036"/>
      <c r="O137" s="335"/>
      <c r="P137" s="331">
        <f t="shared" si="58"/>
        <v>88180</v>
      </c>
      <c r="Q137" s="331">
        <f t="shared" si="39"/>
        <v>84777</v>
      </c>
      <c r="R137" s="982">
        <f t="shared" si="61"/>
        <v>96.140848264912677</v>
      </c>
    </row>
    <row r="138" spans="2:18" ht="12" customHeight="1" x14ac:dyDescent="0.2">
      <c r="B138" s="172">
        <f t="shared" si="45"/>
        <v>133</v>
      </c>
      <c r="C138" s="142"/>
      <c r="D138" s="143"/>
      <c r="E138" s="143"/>
      <c r="F138" s="143" t="s">
        <v>211</v>
      </c>
      <c r="G138" s="201" t="s">
        <v>506</v>
      </c>
      <c r="H138" s="387">
        <f>42210+2069+1455</f>
        <v>45734</v>
      </c>
      <c r="I138" s="387">
        <v>47140</v>
      </c>
      <c r="J138" s="965">
        <f t="shared" si="60"/>
        <v>103.07429920846636</v>
      </c>
      <c r="K138" s="145"/>
      <c r="L138" s="141"/>
      <c r="M138" s="141"/>
      <c r="N138" s="1036"/>
      <c r="O138" s="145"/>
      <c r="P138" s="167">
        <f t="shared" si="58"/>
        <v>45734</v>
      </c>
      <c r="Q138" s="167">
        <f t="shared" si="39"/>
        <v>47140</v>
      </c>
      <c r="R138" s="982">
        <f t="shared" si="61"/>
        <v>103.07429920846636</v>
      </c>
    </row>
    <row r="139" spans="2:18" ht="12" customHeight="1" x14ac:dyDescent="0.2">
      <c r="B139" s="172">
        <f t="shared" si="45"/>
        <v>134</v>
      </c>
      <c r="C139" s="142"/>
      <c r="D139" s="143"/>
      <c r="E139" s="143"/>
      <c r="F139" s="143" t="s">
        <v>212</v>
      </c>
      <c r="G139" s="201" t="s">
        <v>259</v>
      </c>
      <c r="H139" s="387">
        <f>15693+768+1025</f>
        <v>17486</v>
      </c>
      <c r="I139" s="387">
        <v>17243</v>
      </c>
      <c r="J139" s="965">
        <f t="shared" si="60"/>
        <v>98.610316824888471</v>
      </c>
      <c r="K139" s="145"/>
      <c r="L139" s="141"/>
      <c r="M139" s="141"/>
      <c r="N139" s="1036"/>
      <c r="O139" s="145"/>
      <c r="P139" s="167">
        <f t="shared" si="58"/>
        <v>17486</v>
      </c>
      <c r="Q139" s="167">
        <f t="shared" si="39"/>
        <v>17243</v>
      </c>
      <c r="R139" s="982">
        <f t="shared" si="61"/>
        <v>98.610316824888471</v>
      </c>
    </row>
    <row r="140" spans="2:18" ht="12" customHeight="1" x14ac:dyDescent="0.2">
      <c r="B140" s="172">
        <f t="shared" si="45"/>
        <v>135</v>
      </c>
      <c r="C140" s="142"/>
      <c r="D140" s="143"/>
      <c r="E140" s="143"/>
      <c r="F140" s="143" t="s">
        <v>218</v>
      </c>
      <c r="G140" s="201" t="s">
        <v>341</v>
      </c>
      <c r="H140" s="387">
        <f>SUM(H141:H145)</f>
        <v>22910</v>
      </c>
      <c r="I140" s="387">
        <f t="shared" ref="I140" si="63">SUM(I141:I145)</f>
        <v>19506</v>
      </c>
      <c r="J140" s="965">
        <f t="shared" si="60"/>
        <v>85.141859450021826</v>
      </c>
      <c r="K140" s="145"/>
      <c r="L140" s="141"/>
      <c r="M140" s="141"/>
      <c r="N140" s="1036"/>
      <c r="O140" s="145"/>
      <c r="P140" s="167">
        <f t="shared" si="58"/>
        <v>22910</v>
      </c>
      <c r="Q140" s="167">
        <f t="shared" si="39"/>
        <v>19506</v>
      </c>
      <c r="R140" s="982">
        <f t="shared" si="61"/>
        <v>85.141859450021826</v>
      </c>
    </row>
    <row r="141" spans="2:18" ht="12" customHeight="1" x14ac:dyDescent="0.2">
      <c r="B141" s="172">
        <f t="shared" si="45"/>
        <v>136</v>
      </c>
      <c r="C141" s="142"/>
      <c r="D141" s="127"/>
      <c r="E141" s="127"/>
      <c r="F141" s="127" t="s">
        <v>199</v>
      </c>
      <c r="G141" s="193" t="s">
        <v>319</v>
      </c>
      <c r="H141" s="570">
        <v>320</v>
      </c>
      <c r="I141" s="570">
        <v>277</v>
      </c>
      <c r="J141" s="966">
        <f t="shared" si="60"/>
        <v>86.5625</v>
      </c>
      <c r="K141" s="145"/>
      <c r="L141" s="141"/>
      <c r="M141" s="141"/>
      <c r="N141" s="1036"/>
      <c r="O141" s="145"/>
      <c r="P141" s="168">
        <f t="shared" si="58"/>
        <v>320</v>
      </c>
      <c r="Q141" s="168">
        <f t="shared" si="39"/>
        <v>277</v>
      </c>
      <c r="R141" s="983">
        <f t="shared" si="61"/>
        <v>86.5625</v>
      </c>
    </row>
    <row r="142" spans="2:18" ht="12" customHeight="1" x14ac:dyDescent="0.2">
      <c r="B142" s="172">
        <f t="shared" si="45"/>
        <v>137</v>
      </c>
      <c r="C142" s="142"/>
      <c r="D142" s="127"/>
      <c r="E142" s="127"/>
      <c r="F142" s="127" t="s">
        <v>200</v>
      </c>
      <c r="G142" s="193" t="s">
        <v>247</v>
      </c>
      <c r="H142" s="570">
        <f>3340+1300-800-760</f>
        <v>3080</v>
      </c>
      <c r="I142" s="570">
        <v>3998</v>
      </c>
      <c r="J142" s="966">
        <f t="shared" si="60"/>
        <v>129.80519480519482</v>
      </c>
      <c r="K142" s="145"/>
      <c r="L142" s="141"/>
      <c r="M142" s="141"/>
      <c r="N142" s="1036"/>
      <c r="O142" s="145"/>
      <c r="P142" s="168">
        <f t="shared" si="58"/>
        <v>3080</v>
      </c>
      <c r="Q142" s="168">
        <f t="shared" si="39"/>
        <v>3998</v>
      </c>
      <c r="R142" s="983">
        <f t="shared" si="61"/>
        <v>129.80519480519482</v>
      </c>
    </row>
    <row r="143" spans="2:18" ht="12" customHeight="1" x14ac:dyDescent="0.2">
      <c r="B143" s="172">
        <f t="shared" si="45"/>
        <v>138</v>
      </c>
      <c r="C143" s="142"/>
      <c r="D143" s="127"/>
      <c r="E143" s="179"/>
      <c r="F143" s="127" t="s">
        <v>214</v>
      </c>
      <c r="G143" s="193" t="s">
        <v>261</v>
      </c>
      <c r="H143" s="570">
        <v>2200</v>
      </c>
      <c r="I143" s="570">
        <v>2105</v>
      </c>
      <c r="J143" s="966">
        <f t="shared" si="60"/>
        <v>95.681818181818173</v>
      </c>
      <c r="K143" s="145"/>
      <c r="L143" s="141"/>
      <c r="M143" s="141"/>
      <c r="N143" s="1036"/>
      <c r="O143" s="145"/>
      <c r="P143" s="168">
        <f t="shared" si="58"/>
        <v>2200</v>
      </c>
      <c r="Q143" s="168">
        <f t="shared" si="39"/>
        <v>2105</v>
      </c>
      <c r="R143" s="983">
        <f t="shared" si="61"/>
        <v>95.681818181818173</v>
      </c>
    </row>
    <row r="144" spans="2:18" ht="12" customHeight="1" x14ac:dyDescent="0.2">
      <c r="B144" s="172">
        <f t="shared" si="45"/>
        <v>139</v>
      </c>
      <c r="C144" s="142"/>
      <c r="D144" s="127"/>
      <c r="E144" s="146"/>
      <c r="F144" s="127" t="s">
        <v>215</v>
      </c>
      <c r="G144" s="193" t="s">
        <v>347</v>
      </c>
      <c r="H144" s="570">
        <f>14900-137</f>
        <v>14763</v>
      </c>
      <c r="I144" s="570">
        <v>10829</v>
      </c>
      <c r="J144" s="966">
        <f t="shared" si="60"/>
        <v>73.352299668089131</v>
      </c>
      <c r="K144" s="145"/>
      <c r="L144" s="141"/>
      <c r="M144" s="141"/>
      <c r="N144" s="1036"/>
      <c r="O144" s="145"/>
      <c r="P144" s="168">
        <f t="shared" si="58"/>
        <v>14763</v>
      </c>
      <c r="Q144" s="168">
        <f t="shared" si="39"/>
        <v>10829</v>
      </c>
      <c r="R144" s="983">
        <f t="shared" si="61"/>
        <v>73.352299668089131</v>
      </c>
    </row>
    <row r="145" spans="2:18" x14ac:dyDescent="0.2">
      <c r="B145" s="172">
        <f t="shared" si="45"/>
        <v>140</v>
      </c>
      <c r="C145" s="142"/>
      <c r="D145" s="127"/>
      <c r="E145" s="146"/>
      <c r="F145" s="127" t="s">
        <v>216</v>
      </c>
      <c r="G145" s="193" t="s">
        <v>248</v>
      </c>
      <c r="H145" s="570">
        <f>1610+937</f>
        <v>2547</v>
      </c>
      <c r="I145" s="570">
        <v>2297</v>
      </c>
      <c r="J145" s="966">
        <f t="shared" si="60"/>
        <v>90.184530820573229</v>
      </c>
      <c r="K145" s="145"/>
      <c r="L145" s="141"/>
      <c r="M145" s="141"/>
      <c r="N145" s="1036"/>
      <c r="O145" s="145"/>
      <c r="P145" s="168">
        <f t="shared" si="58"/>
        <v>2547</v>
      </c>
      <c r="Q145" s="168">
        <f t="shared" si="39"/>
        <v>2297</v>
      </c>
      <c r="R145" s="983">
        <f t="shared" si="61"/>
        <v>90.184530820573229</v>
      </c>
    </row>
    <row r="146" spans="2:18" x14ac:dyDescent="0.2">
      <c r="B146" s="172">
        <f t="shared" si="45"/>
        <v>141</v>
      </c>
      <c r="C146" s="142"/>
      <c r="D146" s="127"/>
      <c r="E146" s="146"/>
      <c r="F146" s="286" t="s">
        <v>653</v>
      </c>
      <c r="G146" s="201" t="s">
        <v>666</v>
      </c>
      <c r="H146" s="387">
        <v>2050</v>
      </c>
      <c r="I146" s="387">
        <v>888</v>
      </c>
      <c r="J146" s="965">
        <f t="shared" si="60"/>
        <v>43.31707317073171</v>
      </c>
      <c r="K146" s="145"/>
      <c r="L146" s="141"/>
      <c r="M146" s="141"/>
      <c r="N146" s="1036"/>
      <c r="O146" s="145"/>
      <c r="P146" s="167">
        <f t="shared" si="58"/>
        <v>2050</v>
      </c>
      <c r="Q146" s="167">
        <f t="shared" si="39"/>
        <v>888</v>
      </c>
      <c r="R146" s="982">
        <f t="shared" si="61"/>
        <v>43.31707317073171</v>
      </c>
    </row>
    <row r="147" spans="2:18" ht="15" x14ac:dyDescent="0.25">
      <c r="B147" s="172">
        <f t="shared" si="45"/>
        <v>142</v>
      </c>
      <c r="C147" s="142"/>
      <c r="D147" s="29" t="s">
        <v>365</v>
      </c>
      <c r="E147" s="175" t="s">
        <v>290</v>
      </c>
      <c r="F147" s="147" t="s">
        <v>364</v>
      </c>
      <c r="G147" s="238"/>
      <c r="H147" s="427">
        <f>SUM(H148:H150)+H155</f>
        <v>235849</v>
      </c>
      <c r="I147" s="427">
        <f t="shared" ref="I147" si="64">SUM(I148:I150)+I155</f>
        <v>221846</v>
      </c>
      <c r="J147" s="965">
        <f t="shared" si="60"/>
        <v>94.062726575054384</v>
      </c>
      <c r="K147" s="335"/>
      <c r="L147" s="433"/>
      <c r="M147" s="433"/>
      <c r="N147" s="1036"/>
      <c r="O147" s="335"/>
      <c r="P147" s="331">
        <f t="shared" si="58"/>
        <v>235849</v>
      </c>
      <c r="Q147" s="331">
        <f t="shared" si="39"/>
        <v>221846</v>
      </c>
      <c r="R147" s="982">
        <f t="shared" si="61"/>
        <v>94.062726575054384</v>
      </c>
    </row>
    <row r="148" spans="2:18" ht="12" customHeight="1" x14ac:dyDescent="0.2">
      <c r="B148" s="172">
        <f t="shared" si="45"/>
        <v>143</v>
      </c>
      <c r="C148" s="142"/>
      <c r="D148" s="143"/>
      <c r="E148" s="143"/>
      <c r="F148" s="143" t="s">
        <v>211</v>
      </c>
      <c r="G148" s="201" t="s">
        <v>506</v>
      </c>
      <c r="H148" s="387">
        <f>123650+6099+5108</f>
        <v>134857</v>
      </c>
      <c r="I148" s="387">
        <v>136160</v>
      </c>
      <c r="J148" s="965">
        <f t="shared" si="60"/>
        <v>100.96620865064476</v>
      </c>
      <c r="K148" s="145"/>
      <c r="L148" s="141"/>
      <c r="M148" s="141"/>
      <c r="N148" s="1036"/>
      <c r="O148" s="145"/>
      <c r="P148" s="167">
        <f t="shared" si="58"/>
        <v>134857</v>
      </c>
      <c r="Q148" s="167">
        <f t="shared" si="39"/>
        <v>136160</v>
      </c>
      <c r="R148" s="982">
        <f t="shared" si="61"/>
        <v>100.96620865064476</v>
      </c>
    </row>
    <row r="149" spans="2:18" ht="12" customHeight="1" x14ac:dyDescent="0.2">
      <c r="B149" s="172">
        <f t="shared" si="45"/>
        <v>144</v>
      </c>
      <c r="C149" s="142"/>
      <c r="D149" s="143"/>
      <c r="E149" s="143"/>
      <c r="F149" s="143" t="s">
        <v>212</v>
      </c>
      <c r="G149" s="201" t="s">
        <v>259</v>
      </c>
      <c r="H149" s="387">
        <f>45888+2261+1700</f>
        <v>49849</v>
      </c>
      <c r="I149" s="387">
        <v>50670</v>
      </c>
      <c r="J149" s="965">
        <f t="shared" si="60"/>
        <v>101.6469738610604</v>
      </c>
      <c r="K149" s="145"/>
      <c r="L149" s="141"/>
      <c r="M149" s="141"/>
      <c r="N149" s="1036"/>
      <c r="O149" s="145"/>
      <c r="P149" s="167">
        <f t="shared" si="58"/>
        <v>49849</v>
      </c>
      <c r="Q149" s="167">
        <f t="shared" si="39"/>
        <v>50670</v>
      </c>
      <c r="R149" s="982">
        <f t="shared" si="61"/>
        <v>101.6469738610604</v>
      </c>
    </row>
    <row r="150" spans="2:18" ht="12" customHeight="1" x14ac:dyDescent="0.2">
      <c r="B150" s="172">
        <f t="shared" si="45"/>
        <v>145</v>
      </c>
      <c r="C150" s="142"/>
      <c r="D150" s="143"/>
      <c r="E150" s="143"/>
      <c r="F150" s="143" t="s">
        <v>218</v>
      </c>
      <c r="G150" s="201" t="s">
        <v>341</v>
      </c>
      <c r="H150" s="387">
        <f>SUM(H151:H154)</f>
        <v>48573</v>
      </c>
      <c r="I150" s="387">
        <f t="shared" ref="I150" si="65">SUM(I151:I154)</f>
        <v>34570</v>
      </c>
      <c r="J150" s="965">
        <f t="shared" si="60"/>
        <v>71.171226813250158</v>
      </c>
      <c r="K150" s="145"/>
      <c r="L150" s="141"/>
      <c r="M150" s="141"/>
      <c r="N150" s="1036"/>
      <c r="O150" s="145"/>
      <c r="P150" s="167">
        <f t="shared" si="58"/>
        <v>48573</v>
      </c>
      <c r="Q150" s="167">
        <f t="shared" si="39"/>
        <v>34570</v>
      </c>
      <c r="R150" s="982">
        <f t="shared" si="61"/>
        <v>71.171226813250158</v>
      </c>
    </row>
    <row r="151" spans="2:18" ht="12" customHeight="1" x14ac:dyDescent="0.2">
      <c r="B151" s="172">
        <f t="shared" si="45"/>
        <v>146</v>
      </c>
      <c r="C151" s="142"/>
      <c r="D151" s="127"/>
      <c r="E151" s="127"/>
      <c r="F151" s="127" t="s">
        <v>199</v>
      </c>
      <c r="G151" s="193" t="s">
        <v>319</v>
      </c>
      <c r="H151" s="570">
        <f>27000+2280</f>
        <v>29280</v>
      </c>
      <c r="I151" s="570">
        <v>13455</v>
      </c>
      <c r="J151" s="966">
        <f t="shared" si="60"/>
        <v>45.952868852459019</v>
      </c>
      <c r="K151" s="145"/>
      <c r="L151" s="141"/>
      <c r="M151" s="141"/>
      <c r="N151" s="1036"/>
      <c r="O151" s="145"/>
      <c r="P151" s="168">
        <f t="shared" si="58"/>
        <v>29280</v>
      </c>
      <c r="Q151" s="168">
        <f t="shared" si="39"/>
        <v>13455</v>
      </c>
      <c r="R151" s="983">
        <f t="shared" si="61"/>
        <v>45.952868852459019</v>
      </c>
    </row>
    <row r="152" spans="2:18" ht="12" customHeight="1" x14ac:dyDescent="0.2">
      <c r="B152" s="172">
        <f t="shared" si="45"/>
        <v>147</v>
      </c>
      <c r="C152" s="142"/>
      <c r="D152" s="127"/>
      <c r="E152" s="127"/>
      <c r="F152" s="127" t="s">
        <v>200</v>
      </c>
      <c r="G152" s="193" t="s">
        <v>247</v>
      </c>
      <c r="H152" s="570">
        <f>8400+923</f>
        <v>9323</v>
      </c>
      <c r="I152" s="570">
        <v>10775</v>
      </c>
      <c r="J152" s="966">
        <f t="shared" si="60"/>
        <v>115.57438592727662</v>
      </c>
      <c r="K152" s="145"/>
      <c r="L152" s="141"/>
      <c r="M152" s="141"/>
      <c r="N152" s="1036"/>
      <c r="O152" s="145"/>
      <c r="P152" s="168">
        <f t="shared" si="58"/>
        <v>9323</v>
      </c>
      <c r="Q152" s="168">
        <f t="shared" si="39"/>
        <v>10775</v>
      </c>
      <c r="R152" s="983">
        <f t="shared" si="61"/>
        <v>115.57438592727662</v>
      </c>
    </row>
    <row r="153" spans="2:18" ht="12" customHeight="1" x14ac:dyDescent="0.2">
      <c r="B153" s="172">
        <f t="shared" si="45"/>
        <v>148</v>
      </c>
      <c r="C153" s="142"/>
      <c r="D153" s="127"/>
      <c r="E153" s="146"/>
      <c r="F153" s="127" t="s">
        <v>215</v>
      </c>
      <c r="G153" s="193" t="s">
        <v>347</v>
      </c>
      <c r="H153" s="570">
        <v>4700</v>
      </c>
      <c r="I153" s="570">
        <v>3878</v>
      </c>
      <c r="J153" s="966">
        <f t="shared" si="60"/>
        <v>82.510638297872347</v>
      </c>
      <c r="K153" s="145"/>
      <c r="L153" s="141"/>
      <c r="M153" s="141"/>
      <c r="N153" s="1036"/>
      <c r="O153" s="145"/>
      <c r="P153" s="168">
        <f t="shared" si="58"/>
        <v>4700</v>
      </c>
      <c r="Q153" s="168">
        <f t="shared" si="39"/>
        <v>3878</v>
      </c>
      <c r="R153" s="983">
        <f t="shared" si="61"/>
        <v>82.510638297872347</v>
      </c>
    </row>
    <row r="154" spans="2:18" ht="12" customHeight="1" x14ac:dyDescent="0.2">
      <c r="B154" s="172">
        <f t="shared" si="45"/>
        <v>149</v>
      </c>
      <c r="C154" s="142"/>
      <c r="D154" s="127"/>
      <c r="E154" s="146"/>
      <c r="F154" s="127" t="s">
        <v>216</v>
      </c>
      <c r="G154" s="193" t="s">
        <v>248</v>
      </c>
      <c r="H154" s="570">
        <v>5270</v>
      </c>
      <c r="I154" s="570">
        <v>6462</v>
      </c>
      <c r="J154" s="966">
        <f t="shared" si="60"/>
        <v>122.61859582542694</v>
      </c>
      <c r="K154" s="145"/>
      <c r="L154" s="141"/>
      <c r="M154" s="141"/>
      <c r="N154" s="1036"/>
      <c r="O154" s="145"/>
      <c r="P154" s="168">
        <f t="shared" si="58"/>
        <v>5270</v>
      </c>
      <c r="Q154" s="168">
        <f t="shared" si="39"/>
        <v>6462</v>
      </c>
      <c r="R154" s="983">
        <f t="shared" si="61"/>
        <v>122.61859582542694</v>
      </c>
    </row>
    <row r="155" spans="2:18" ht="12" customHeight="1" x14ac:dyDescent="0.2">
      <c r="B155" s="172">
        <f t="shared" si="45"/>
        <v>150</v>
      </c>
      <c r="C155" s="142"/>
      <c r="D155" s="127"/>
      <c r="E155" s="146"/>
      <c r="F155" s="286" t="s">
        <v>653</v>
      </c>
      <c r="G155" s="201" t="s">
        <v>666</v>
      </c>
      <c r="H155" s="387">
        <v>2570</v>
      </c>
      <c r="I155" s="387">
        <v>446</v>
      </c>
      <c r="J155" s="965">
        <f t="shared" si="60"/>
        <v>17.354085603112839</v>
      </c>
      <c r="K155" s="145"/>
      <c r="L155" s="141"/>
      <c r="M155" s="141"/>
      <c r="N155" s="1036"/>
      <c r="O155" s="145"/>
      <c r="P155" s="167">
        <f t="shared" si="58"/>
        <v>2570</v>
      </c>
      <c r="Q155" s="167">
        <f t="shared" si="39"/>
        <v>446</v>
      </c>
      <c r="R155" s="982">
        <f t="shared" si="61"/>
        <v>17.354085603112839</v>
      </c>
    </row>
    <row r="156" spans="2:18" ht="15" x14ac:dyDescent="0.25">
      <c r="B156" s="172">
        <f t="shared" si="45"/>
        <v>151</v>
      </c>
      <c r="C156" s="142"/>
      <c r="D156" s="29"/>
      <c r="E156" s="175" t="s">
        <v>290</v>
      </c>
      <c r="F156" s="147" t="s">
        <v>602</v>
      </c>
      <c r="G156" s="238"/>
      <c r="H156" s="427">
        <f>SUM(H157:H159)+H165</f>
        <v>377218</v>
      </c>
      <c r="I156" s="427">
        <f t="shared" ref="I156" si="66">SUM(I157:I159)+I165</f>
        <v>377213</v>
      </c>
      <c r="J156" s="965">
        <f t="shared" si="60"/>
        <v>99.998674506518782</v>
      </c>
      <c r="K156" s="335"/>
      <c r="L156" s="433"/>
      <c r="M156" s="433"/>
      <c r="N156" s="1036"/>
      <c r="O156" s="335"/>
      <c r="P156" s="331">
        <f>H156+L156</f>
        <v>377218</v>
      </c>
      <c r="Q156" s="331">
        <f t="shared" si="39"/>
        <v>377213</v>
      </c>
      <c r="R156" s="982">
        <f t="shared" si="61"/>
        <v>99.998674506518782</v>
      </c>
    </row>
    <row r="157" spans="2:18" ht="12" customHeight="1" x14ac:dyDescent="0.2">
      <c r="B157" s="172">
        <f t="shared" si="45"/>
        <v>152</v>
      </c>
      <c r="C157" s="142"/>
      <c r="D157" s="143"/>
      <c r="E157" s="143"/>
      <c r="F157" s="143" t="s">
        <v>211</v>
      </c>
      <c r="G157" s="201" t="s">
        <v>506</v>
      </c>
      <c r="H157" s="387">
        <f>204325+10027</f>
        <v>214352</v>
      </c>
      <c r="I157" s="387">
        <v>215526</v>
      </c>
      <c r="J157" s="965">
        <f t="shared" si="60"/>
        <v>100.547697245652</v>
      </c>
      <c r="K157" s="145"/>
      <c r="L157" s="141"/>
      <c r="M157" s="141"/>
      <c r="N157" s="1036"/>
      <c r="O157" s="145"/>
      <c r="P157" s="167">
        <f>H157+L157</f>
        <v>214352</v>
      </c>
      <c r="Q157" s="167">
        <f t="shared" si="39"/>
        <v>215526</v>
      </c>
      <c r="R157" s="982">
        <f t="shared" si="61"/>
        <v>100.547697245652</v>
      </c>
    </row>
    <row r="158" spans="2:18" ht="12" customHeight="1" x14ac:dyDescent="0.2">
      <c r="B158" s="172">
        <f t="shared" si="45"/>
        <v>153</v>
      </c>
      <c r="C158" s="142"/>
      <c r="D158" s="143"/>
      <c r="E158" s="143"/>
      <c r="F158" s="143" t="s">
        <v>212</v>
      </c>
      <c r="G158" s="201" t="s">
        <v>259</v>
      </c>
      <c r="H158" s="387">
        <f>74679+3659</f>
        <v>78338</v>
      </c>
      <c r="I158" s="387">
        <v>78635</v>
      </c>
      <c r="J158" s="965">
        <f t="shared" si="60"/>
        <v>100.37912634991959</v>
      </c>
      <c r="K158" s="145"/>
      <c r="L158" s="141"/>
      <c r="M158" s="141"/>
      <c r="N158" s="1036"/>
      <c r="O158" s="145"/>
      <c r="P158" s="167">
        <f>H158+L158</f>
        <v>78338</v>
      </c>
      <c r="Q158" s="167">
        <f t="shared" si="39"/>
        <v>78635</v>
      </c>
      <c r="R158" s="982">
        <f t="shared" si="61"/>
        <v>100.37912634991959</v>
      </c>
    </row>
    <row r="159" spans="2:18" ht="12" customHeight="1" x14ac:dyDescent="0.2">
      <c r="B159" s="172">
        <f t="shared" si="45"/>
        <v>154</v>
      </c>
      <c r="C159" s="142"/>
      <c r="D159" s="143"/>
      <c r="E159" s="143"/>
      <c r="F159" s="143" t="s">
        <v>218</v>
      </c>
      <c r="G159" s="201" t="s">
        <v>341</v>
      </c>
      <c r="H159" s="387">
        <f>SUM(H160:H164)</f>
        <v>82583</v>
      </c>
      <c r="I159" s="387">
        <f t="shared" ref="I159" si="67">SUM(I160:I164)</f>
        <v>82578</v>
      </c>
      <c r="J159" s="965">
        <f t="shared" si="60"/>
        <v>99.993945485148274</v>
      </c>
      <c r="K159" s="145"/>
      <c r="L159" s="141"/>
      <c r="M159" s="141"/>
      <c r="N159" s="1036"/>
      <c r="O159" s="145"/>
      <c r="P159" s="167">
        <f>H159+L159</f>
        <v>82583</v>
      </c>
      <c r="Q159" s="167">
        <f t="shared" ref="Q159:Q165" si="68">I159+M159</f>
        <v>82578</v>
      </c>
      <c r="R159" s="982">
        <f t="shared" si="61"/>
        <v>99.993945485148274</v>
      </c>
    </row>
    <row r="160" spans="2:18" ht="12" customHeight="1" x14ac:dyDescent="0.2">
      <c r="B160" s="172">
        <f t="shared" ref="B160:B168" si="69">B159+1</f>
        <v>155</v>
      </c>
      <c r="C160" s="142"/>
      <c r="D160" s="127"/>
      <c r="E160" s="127"/>
      <c r="F160" s="127" t="s">
        <v>199</v>
      </c>
      <c r="G160" s="193" t="s">
        <v>319</v>
      </c>
      <c r="H160" s="570">
        <v>53230</v>
      </c>
      <c r="I160" s="570">
        <v>50916</v>
      </c>
      <c r="J160" s="966">
        <f t="shared" si="60"/>
        <v>95.652827352996425</v>
      </c>
      <c r="K160" s="145"/>
      <c r="L160" s="141"/>
      <c r="M160" s="141"/>
      <c r="N160" s="1036"/>
      <c r="O160" s="145"/>
      <c r="P160" s="168">
        <f t="shared" ref="P160:P165" si="70">H160+L160</f>
        <v>53230</v>
      </c>
      <c r="Q160" s="168">
        <f t="shared" si="68"/>
        <v>50916</v>
      </c>
      <c r="R160" s="983">
        <f t="shared" si="61"/>
        <v>95.652827352996425</v>
      </c>
    </row>
    <row r="161" spans="2:18" ht="12" customHeight="1" x14ac:dyDescent="0.2">
      <c r="B161" s="172">
        <f t="shared" si="69"/>
        <v>156</v>
      </c>
      <c r="C161" s="142"/>
      <c r="D161" s="127"/>
      <c r="E161" s="127"/>
      <c r="F161" s="127" t="s">
        <v>200</v>
      </c>
      <c r="G161" s="193" t="s">
        <v>247</v>
      </c>
      <c r="H161" s="570">
        <f>13300+3</f>
        <v>13303</v>
      </c>
      <c r="I161" s="570">
        <v>16739</v>
      </c>
      <c r="J161" s="966">
        <f t="shared" si="60"/>
        <v>125.82876042997819</v>
      </c>
      <c r="K161" s="145"/>
      <c r="L161" s="141"/>
      <c r="M161" s="141"/>
      <c r="N161" s="1036"/>
      <c r="O161" s="145"/>
      <c r="P161" s="168">
        <f t="shared" si="70"/>
        <v>13303</v>
      </c>
      <c r="Q161" s="168">
        <f t="shared" si="68"/>
        <v>16739</v>
      </c>
      <c r="R161" s="983">
        <f t="shared" si="61"/>
        <v>125.82876042997819</v>
      </c>
    </row>
    <row r="162" spans="2:18" ht="12" customHeight="1" x14ac:dyDescent="0.2">
      <c r="B162" s="172">
        <f t="shared" si="69"/>
        <v>157</v>
      </c>
      <c r="C162" s="142"/>
      <c r="D162" s="127"/>
      <c r="E162" s="146"/>
      <c r="F162" s="127" t="s">
        <v>214</v>
      </c>
      <c r="G162" s="193" t="s">
        <v>261</v>
      </c>
      <c r="H162" s="381">
        <f>150+726</f>
        <v>876</v>
      </c>
      <c r="I162" s="381">
        <v>876</v>
      </c>
      <c r="J162" s="978">
        <f t="shared" si="60"/>
        <v>100</v>
      </c>
      <c r="K162" s="329"/>
      <c r="L162" s="141"/>
      <c r="M162" s="141"/>
      <c r="N162" s="1036"/>
      <c r="O162" s="329"/>
      <c r="P162" s="168">
        <f t="shared" si="70"/>
        <v>876</v>
      </c>
      <c r="Q162" s="168">
        <f t="shared" si="68"/>
        <v>876</v>
      </c>
      <c r="R162" s="983">
        <f t="shared" si="61"/>
        <v>100</v>
      </c>
    </row>
    <row r="163" spans="2:18" ht="12" customHeight="1" x14ac:dyDescent="0.2">
      <c r="B163" s="172">
        <f t="shared" si="69"/>
        <v>158</v>
      </c>
      <c r="C163" s="142"/>
      <c r="D163" s="127"/>
      <c r="E163" s="146"/>
      <c r="F163" s="127" t="s">
        <v>215</v>
      </c>
      <c r="G163" s="193" t="s">
        <v>347</v>
      </c>
      <c r="H163" s="570">
        <v>7300</v>
      </c>
      <c r="I163" s="570">
        <v>7080</v>
      </c>
      <c r="J163" s="966">
        <f t="shared" si="60"/>
        <v>96.986301369863014</v>
      </c>
      <c r="K163" s="145"/>
      <c r="L163" s="141"/>
      <c r="M163" s="141"/>
      <c r="N163" s="1036"/>
      <c r="O163" s="145"/>
      <c r="P163" s="168">
        <f t="shared" si="70"/>
        <v>7300</v>
      </c>
      <c r="Q163" s="168">
        <f t="shared" si="68"/>
        <v>7080</v>
      </c>
      <c r="R163" s="983">
        <f t="shared" si="61"/>
        <v>96.986301369863014</v>
      </c>
    </row>
    <row r="164" spans="2:18" x14ac:dyDescent="0.2">
      <c r="B164" s="172">
        <f t="shared" si="69"/>
        <v>159</v>
      </c>
      <c r="C164" s="142"/>
      <c r="D164" s="127"/>
      <c r="E164" s="146"/>
      <c r="F164" s="127" t="s">
        <v>216</v>
      </c>
      <c r="G164" s="193" t="s">
        <v>248</v>
      </c>
      <c r="H164" s="570">
        <f>8600-726</f>
        <v>7874</v>
      </c>
      <c r="I164" s="570">
        <v>6967</v>
      </c>
      <c r="J164" s="966">
        <f t="shared" si="60"/>
        <v>88.481076962153921</v>
      </c>
      <c r="K164" s="145"/>
      <c r="L164" s="141"/>
      <c r="M164" s="141"/>
      <c r="N164" s="1036"/>
      <c r="O164" s="145"/>
      <c r="P164" s="168">
        <f t="shared" si="70"/>
        <v>7874</v>
      </c>
      <c r="Q164" s="168">
        <f t="shared" si="68"/>
        <v>6967</v>
      </c>
      <c r="R164" s="983">
        <f t="shared" si="61"/>
        <v>88.481076962153921</v>
      </c>
    </row>
    <row r="165" spans="2:18" x14ac:dyDescent="0.2">
      <c r="B165" s="172">
        <f t="shared" si="69"/>
        <v>160</v>
      </c>
      <c r="C165" s="142"/>
      <c r="D165" s="127"/>
      <c r="E165" s="146"/>
      <c r="F165" s="286" t="s">
        <v>653</v>
      </c>
      <c r="G165" s="201" t="s">
        <v>666</v>
      </c>
      <c r="H165" s="387">
        <v>1945</v>
      </c>
      <c r="I165" s="387">
        <v>474</v>
      </c>
      <c r="J165" s="965">
        <f t="shared" si="60"/>
        <v>24.370179948586117</v>
      </c>
      <c r="K165" s="145"/>
      <c r="L165" s="141"/>
      <c r="M165" s="141"/>
      <c r="N165" s="1036"/>
      <c r="O165" s="145"/>
      <c r="P165" s="167">
        <f t="shared" si="70"/>
        <v>1945</v>
      </c>
      <c r="Q165" s="167">
        <f t="shared" si="68"/>
        <v>474</v>
      </c>
      <c r="R165" s="982">
        <f t="shared" si="61"/>
        <v>24.370179948586117</v>
      </c>
    </row>
    <row r="166" spans="2:18" x14ac:dyDescent="0.2">
      <c r="B166" s="172">
        <f t="shared" si="69"/>
        <v>161</v>
      </c>
      <c r="C166" s="142"/>
      <c r="D166" s="127"/>
      <c r="E166" s="146"/>
      <c r="F166" s="143"/>
      <c r="G166" s="201"/>
      <c r="H166" s="570"/>
      <c r="I166" s="570"/>
      <c r="J166" s="966"/>
      <c r="K166" s="145"/>
      <c r="L166" s="141"/>
      <c r="M166" s="141"/>
      <c r="N166" s="1036"/>
      <c r="O166" s="145"/>
      <c r="P166" s="168"/>
      <c r="Q166" s="168"/>
      <c r="R166" s="983"/>
    </row>
    <row r="167" spans="2:18" x14ac:dyDescent="0.2">
      <c r="B167" s="172">
        <f t="shared" si="69"/>
        <v>162</v>
      </c>
      <c r="C167" s="142"/>
      <c r="D167" s="127"/>
      <c r="E167" s="146"/>
      <c r="F167" s="143" t="s">
        <v>214</v>
      </c>
      <c r="G167" s="201" t="s">
        <v>692</v>
      </c>
      <c r="H167" s="570">
        <f>30000-3500-18551-4210-3660</f>
        <v>79</v>
      </c>
      <c r="I167" s="570"/>
      <c r="J167" s="966">
        <f t="shared" si="60"/>
        <v>0</v>
      </c>
      <c r="K167" s="145"/>
      <c r="L167" s="141"/>
      <c r="M167" s="141"/>
      <c r="N167" s="1036"/>
      <c r="O167" s="145"/>
      <c r="P167" s="168">
        <f>H167+L167</f>
        <v>79</v>
      </c>
      <c r="Q167" s="168">
        <f t="shared" ref="Q167" si="71">I167+M167</f>
        <v>0</v>
      </c>
      <c r="R167" s="983">
        <f t="shared" si="61"/>
        <v>0</v>
      </c>
    </row>
    <row r="168" spans="2:18" x14ac:dyDescent="0.2">
      <c r="B168" s="172">
        <f t="shared" si="69"/>
        <v>163</v>
      </c>
      <c r="C168" s="142"/>
      <c r="D168" s="127"/>
      <c r="E168" s="146"/>
      <c r="F168" s="143"/>
      <c r="G168" s="201"/>
      <c r="H168" s="570"/>
      <c r="I168" s="570"/>
      <c r="J168" s="966"/>
      <c r="K168" s="145"/>
      <c r="L168" s="141"/>
      <c r="M168" s="141"/>
      <c r="N168" s="1036"/>
      <c r="O168" s="145"/>
      <c r="P168" s="168"/>
      <c r="Q168" s="168"/>
      <c r="R168" s="983"/>
    </row>
    <row r="169" spans="2:18" ht="12" customHeight="1" x14ac:dyDescent="0.2">
      <c r="B169" s="172">
        <f t="shared" ref="B169:B232" si="72">B168+1</f>
        <v>164</v>
      </c>
      <c r="C169" s="142"/>
      <c r="D169" s="127"/>
      <c r="E169" s="146"/>
      <c r="F169" s="127" t="s">
        <v>217</v>
      </c>
      <c r="G169" s="201" t="s">
        <v>513</v>
      </c>
      <c r="H169" s="387">
        <v>40013</v>
      </c>
      <c r="I169" s="387">
        <v>40013</v>
      </c>
      <c r="J169" s="965">
        <f t="shared" si="60"/>
        <v>100</v>
      </c>
      <c r="K169" s="145"/>
      <c r="L169" s="141"/>
      <c r="M169" s="141"/>
      <c r="N169" s="1036"/>
      <c r="O169" s="145"/>
      <c r="P169" s="167">
        <f>H169+L169</f>
        <v>40013</v>
      </c>
      <c r="Q169" s="167">
        <f t="shared" ref="Q169:Q171" si="73">I169+M169</f>
        <v>40013</v>
      </c>
      <c r="R169" s="982">
        <f t="shared" si="61"/>
        <v>100</v>
      </c>
    </row>
    <row r="170" spans="2:18" ht="12" customHeight="1" x14ac:dyDescent="0.2">
      <c r="B170" s="172">
        <f t="shared" si="72"/>
        <v>165</v>
      </c>
      <c r="C170" s="142"/>
      <c r="D170" s="127"/>
      <c r="E170" s="146"/>
      <c r="F170" s="127" t="s">
        <v>217</v>
      </c>
      <c r="G170" s="201" t="s">
        <v>514</v>
      </c>
      <c r="H170" s="387">
        <v>83226</v>
      </c>
      <c r="I170" s="387">
        <v>83226</v>
      </c>
      <c r="J170" s="965">
        <f t="shared" si="60"/>
        <v>100</v>
      </c>
      <c r="K170" s="145"/>
      <c r="L170" s="141"/>
      <c r="M170" s="141"/>
      <c r="N170" s="1036"/>
      <c r="O170" s="145"/>
      <c r="P170" s="167">
        <f>H170+L170</f>
        <v>83226</v>
      </c>
      <c r="Q170" s="167">
        <f t="shared" si="73"/>
        <v>83226</v>
      </c>
      <c r="R170" s="982">
        <f t="shared" si="61"/>
        <v>100</v>
      </c>
    </row>
    <row r="171" spans="2:18" ht="12" customHeight="1" x14ac:dyDescent="0.2">
      <c r="B171" s="172">
        <f t="shared" si="72"/>
        <v>166</v>
      </c>
      <c r="C171" s="142"/>
      <c r="D171" s="127"/>
      <c r="E171" s="146"/>
      <c r="F171" s="127" t="s">
        <v>217</v>
      </c>
      <c r="G171" s="201" t="s">
        <v>515</v>
      </c>
      <c r="H171" s="387">
        <v>67221</v>
      </c>
      <c r="I171" s="387">
        <v>67221</v>
      </c>
      <c r="J171" s="965"/>
      <c r="K171" s="145"/>
      <c r="L171" s="141"/>
      <c r="M171" s="141"/>
      <c r="N171" s="1036"/>
      <c r="O171" s="145"/>
      <c r="P171" s="167">
        <f>H171+L171</f>
        <v>67221</v>
      </c>
      <c r="Q171" s="167">
        <f t="shared" si="73"/>
        <v>67221</v>
      </c>
      <c r="R171" s="982">
        <f t="shared" si="61"/>
        <v>100</v>
      </c>
    </row>
    <row r="172" spans="2:18" ht="12" customHeight="1" x14ac:dyDescent="0.2">
      <c r="B172" s="172">
        <f t="shared" si="72"/>
        <v>167</v>
      </c>
      <c r="C172" s="142"/>
      <c r="D172" s="127"/>
      <c r="E172" s="146"/>
      <c r="F172" s="127"/>
      <c r="G172" s="201"/>
      <c r="H172" s="387"/>
      <c r="I172" s="387"/>
      <c r="J172" s="965"/>
      <c r="K172" s="145"/>
      <c r="L172" s="141"/>
      <c r="M172" s="141"/>
      <c r="N172" s="1036"/>
      <c r="O172" s="145"/>
      <c r="P172" s="168"/>
      <c r="Q172" s="168"/>
      <c r="R172" s="983"/>
    </row>
    <row r="173" spans="2:18" ht="15.75" x14ac:dyDescent="0.25">
      <c r="B173" s="172">
        <f t="shared" si="72"/>
        <v>168</v>
      </c>
      <c r="C173" s="21">
        <v>2</v>
      </c>
      <c r="D173" s="122" t="s">
        <v>107</v>
      </c>
      <c r="E173" s="22"/>
      <c r="F173" s="22"/>
      <c r="G173" s="194"/>
      <c r="H173" s="415">
        <f>H174+H185+H212+H237+H266+H289+H315+H340+H364+H387</f>
        <v>6559248</v>
      </c>
      <c r="I173" s="415">
        <f>I174+I185+I212+I237+I266+I289+I315+I340+I364+I387</f>
        <v>6530638</v>
      </c>
      <c r="J173" s="972">
        <f t="shared" si="60"/>
        <v>99.563821950321127</v>
      </c>
      <c r="K173" s="110"/>
      <c r="L173" s="472">
        <f>L174+L185+L212+L237+L266+L289+L315+L340+L364</f>
        <v>130456</v>
      </c>
      <c r="M173" s="472">
        <f>M174+M185+M212+M237+M266+M289+M315+M340+M364</f>
        <v>94014</v>
      </c>
      <c r="N173" s="1044">
        <f t="shared" ref="N173" si="74">M173/L173*100</f>
        <v>72.065677316489854</v>
      </c>
      <c r="O173" s="110"/>
      <c r="P173" s="390">
        <f>H173+L173</f>
        <v>6689704</v>
      </c>
      <c r="Q173" s="390">
        <f t="shared" ref="Q173:Q189" si="75">I173+M173</f>
        <v>6624652</v>
      </c>
      <c r="R173" s="984">
        <f t="shared" si="61"/>
        <v>99.027580293537653</v>
      </c>
    </row>
    <row r="174" spans="2:18" ht="15" x14ac:dyDescent="0.25">
      <c r="B174" s="172">
        <f t="shared" si="72"/>
        <v>169</v>
      </c>
      <c r="C174" s="142"/>
      <c r="D174" s="152" t="s">
        <v>4</v>
      </c>
      <c r="E174" s="147"/>
      <c r="F174" s="147" t="s">
        <v>245</v>
      </c>
      <c r="G174" s="238"/>
      <c r="H174" s="427">
        <f>H176+H177+H178</f>
        <v>91503</v>
      </c>
      <c r="I174" s="427">
        <f>I176+I177+I178+I184</f>
        <v>91503</v>
      </c>
      <c r="J174" s="965">
        <f t="shared" si="60"/>
        <v>100</v>
      </c>
      <c r="K174" s="332"/>
      <c r="L174" s="431"/>
      <c r="M174" s="431"/>
      <c r="N174" s="1035"/>
      <c r="O174" s="332"/>
      <c r="P174" s="333">
        <f t="shared" ref="P174:P195" si="76">H174+L174</f>
        <v>91503</v>
      </c>
      <c r="Q174" s="333">
        <f t="shared" si="75"/>
        <v>91503</v>
      </c>
      <c r="R174" s="982">
        <f t="shared" si="61"/>
        <v>100</v>
      </c>
    </row>
    <row r="175" spans="2:18" ht="15" x14ac:dyDescent="0.25">
      <c r="B175" s="172">
        <f t="shared" si="72"/>
        <v>170</v>
      </c>
      <c r="C175" s="142"/>
      <c r="D175" s="558"/>
      <c r="E175" s="562" t="s">
        <v>429</v>
      </c>
      <c r="F175" s="562" t="s">
        <v>687</v>
      </c>
      <c r="G175" s="561"/>
      <c r="H175" s="563">
        <f>H176+H177+H178</f>
        <v>91503</v>
      </c>
      <c r="I175" s="563">
        <f>I176+I177+I178+I184</f>
        <v>91503</v>
      </c>
      <c r="J175" s="995">
        <f t="shared" si="60"/>
        <v>100</v>
      </c>
      <c r="K175" s="332"/>
      <c r="L175" s="560"/>
      <c r="M175" s="560"/>
      <c r="N175" s="1037"/>
      <c r="O175" s="332"/>
      <c r="P175" s="564">
        <f t="shared" si="76"/>
        <v>91503</v>
      </c>
      <c r="Q175" s="564">
        <f t="shared" si="75"/>
        <v>91503</v>
      </c>
      <c r="R175" s="1001">
        <f t="shared" si="61"/>
        <v>100</v>
      </c>
    </row>
    <row r="176" spans="2:18" ht="12" customHeight="1" x14ac:dyDescent="0.2">
      <c r="B176" s="172">
        <f t="shared" si="72"/>
        <v>171</v>
      </c>
      <c r="C176" s="142"/>
      <c r="D176" s="143"/>
      <c r="E176" s="143"/>
      <c r="F176" s="143" t="s">
        <v>211</v>
      </c>
      <c r="G176" s="201" t="s">
        <v>506</v>
      </c>
      <c r="H176" s="573">
        <f>57940+2150-4110+540</f>
        <v>56520</v>
      </c>
      <c r="I176" s="573">
        <v>56578</v>
      </c>
      <c r="J176" s="965">
        <f t="shared" si="60"/>
        <v>100.10261854210898</v>
      </c>
      <c r="K176" s="336"/>
      <c r="L176" s="400"/>
      <c r="M176" s="400"/>
      <c r="N176" s="1035"/>
      <c r="O176" s="336"/>
      <c r="P176" s="167">
        <f t="shared" si="76"/>
        <v>56520</v>
      </c>
      <c r="Q176" s="167">
        <f t="shared" si="75"/>
        <v>56578</v>
      </c>
      <c r="R176" s="982">
        <f t="shared" si="61"/>
        <v>100.10261854210898</v>
      </c>
    </row>
    <row r="177" spans="2:18" ht="12" customHeight="1" x14ac:dyDescent="0.2">
      <c r="B177" s="172">
        <f t="shared" si="72"/>
        <v>172</v>
      </c>
      <c r="C177" s="142"/>
      <c r="D177" s="143"/>
      <c r="E177" s="143"/>
      <c r="F177" s="143" t="s">
        <v>212</v>
      </c>
      <c r="G177" s="201" t="s">
        <v>259</v>
      </c>
      <c r="H177" s="573">
        <f>20250+1756-1448+189</f>
        <v>20747</v>
      </c>
      <c r="I177" s="573">
        <v>20483</v>
      </c>
      <c r="J177" s="965">
        <f t="shared" si="60"/>
        <v>98.727526871354897</v>
      </c>
      <c r="K177" s="336"/>
      <c r="L177" s="400"/>
      <c r="M177" s="400"/>
      <c r="N177" s="1035"/>
      <c r="O177" s="336"/>
      <c r="P177" s="167">
        <f t="shared" si="76"/>
        <v>20747</v>
      </c>
      <c r="Q177" s="167">
        <f t="shared" si="75"/>
        <v>20483</v>
      </c>
      <c r="R177" s="982">
        <f t="shared" si="61"/>
        <v>98.727526871354897</v>
      </c>
    </row>
    <row r="178" spans="2:18" ht="12" customHeight="1" x14ac:dyDescent="0.2">
      <c r="B178" s="172">
        <f t="shared" si="72"/>
        <v>173</v>
      </c>
      <c r="C178" s="142"/>
      <c r="D178" s="143"/>
      <c r="E178" s="143"/>
      <c r="F178" s="143" t="s">
        <v>218</v>
      </c>
      <c r="G178" s="201" t="s">
        <v>341</v>
      </c>
      <c r="H178" s="573">
        <f>SUM(H179:H183)</f>
        <v>14236</v>
      </c>
      <c r="I178" s="573">
        <f t="shared" ref="I178" si="77">SUM(I179:I183)</f>
        <v>14236</v>
      </c>
      <c r="J178" s="965">
        <f t="shared" si="60"/>
        <v>100</v>
      </c>
      <c r="K178" s="336"/>
      <c r="L178" s="400"/>
      <c r="M178" s="400"/>
      <c r="N178" s="1035"/>
      <c r="O178" s="336"/>
      <c r="P178" s="167">
        <f t="shared" si="76"/>
        <v>14236</v>
      </c>
      <c r="Q178" s="167">
        <f t="shared" si="75"/>
        <v>14236</v>
      </c>
      <c r="R178" s="982">
        <f t="shared" si="61"/>
        <v>100</v>
      </c>
    </row>
    <row r="179" spans="2:18" ht="12" customHeight="1" x14ac:dyDescent="0.2">
      <c r="B179" s="172">
        <f t="shared" si="72"/>
        <v>174</v>
      </c>
      <c r="C179" s="142"/>
      <c r="D179" s="143"/>
      <c r="E179" s="143"/>
      <c r="F179" s="127" t="s">
        <v>199</v>
      </c>
      <c r="G179" s="193" t="s">
        <v>246</v>
      </c>
      <c r="H179" s="399">
        <f>6345+8461-9100</f>
        <v>5706</v>
      </c>
      <c r="I179" s="399">
        <v>5109</v>
      </c>
      <c r="J179" s="966">
        <f t="shared" si="60"/>
        <v>89.537329127234486</v>
      </c>
      <c r="K179" s="336"/>
      <c r="L179" s="400"/>
      <c r="M179" s="400"/>
      <c r="N179" s="1035"/>
      <c r="O179" s="336"/>
      <c r="P179" s="168">
        <f t="shared" si="76"/>
        <v>5706</v>
      </c>
      <c r="Q179" s="168">
        <f t="shared" si="75"/>
        <v>5109</v>
      </c>
      <c r="R179" s="983">
        <f t="shared" si="61"/>
        <v>89.537329127234486</v>
      </c>
    </row>
    <row r="180" spans="2:18" ht="12" customHeight="1" x14ac:dyDescent="0.2">
      <c r="B180" s="172">
        <f t="shared" si="72"/>
        <v>175</v>
      </c>
      <c r="C180" s="142"/>
      <c r="D180" s="143"/>
      <c r="E180" s="143"/>
      <c r="F180" s="127" t="s">
        <v>200</v>
      </c>
      <c r="G180" s="193" t="s">
        <v>247</v>
      </c>
      <c r="H180" s="399">
        <f>4700+163</f>
        <v>4863</v>
      </c>
      <c r="I180" s="399">
        <v>6640</v>
      </c>
      <c r="J180" s="966">
        <f t="shared" si="60"/>
        <v>136.54122969360475</v>
      </c>
      <c r="K180" s="336"/>
      <c r="L180" s="400"/>
      <c r="M180" s="400"/>
      <c r="N180" s="1035"/>
      <c r="O180" s="336"/>
      <c r="P180" s="168">
        <f t="shared" si="76"/>
        <v>4863</v>
      </c>
      <c r="Q180" s="168">
        <f t="shared" si="75"/>
        <v>6640</v>
      </c>
      <c r="R180" s="983">
        <f t="shared" si="61"/>
        <v>136.54122969360475</v>
      </c>
    </row>
    <row r="181" spans="2:18" ht="12" customHeight="1" x14ac:dyDescent="0.2">
      <c r="B181" s="172">
        <f t="shared" si="72"/>
        <v>176</v>
      </c>
      <c r="C181" s="142"/>
      <c r="D181" s="143"/>
      <c r="E181" s="143"/>
      <c r="F181" s="127" t="s">
        <v>214</v>
      </c>
      <c r="G181" s="193" t="s">
        <v>261</v>
      </c>
      <c r="H181" s="399">
        <v>1000</v>
      </c>
      <c r="I181" s="399">
        <v>0</v>
      </c>
      <c r="J181" s="966">
        <f t="shared" si="60"/>
        <v>0</v>
      </c>
      <c r="K181" s="336"/>
      <c r="L181" s="400"/>
      <c r="M181" s="400"/>
      <c r="N181" s="1035"/>
      <c r="O181" s="336"/>
      <c r="P181" s="168">
        <f t="shared" si="76"/>
        <v>1000</v>
      </c>
      <c r="Q181" s="168">
        <f t="shared" si="75"/>
        <v>0</v>
      </c>
      <c r="R181" s="983">
        <f t="shared" si="61"/>
        <v>0</v>
      </c>
    </row>
    <row r="182" spans="2:18" ht="12" customHeight="1" x14ac:dyDescent="0.2">
      <c r="B182" s="172">
        <f t="shared" si="72"/>
        <v>177</v>
      </c>
      <c r="C182" s="142"/>
      <c r="D182" s="143"/>
      <c r="E182" s="143"/>
      <c r="F182" s="292" t="s">
        <v>216</v>
      </c>
      <c r="G182" s="193" t="s">
        <v>248</v>
      </c>
      <c r="H182" s="399">
        <v>2460</v>
      </c>
      <c r="I182" s="399">
        <v>2280</v>
      </c>
      <c r="J182" s="966">
        <f t="shared" si="60"/>
        <v>92.682926829268297</v>
      </c>
      <c r="K182" s="336"/>
      <c r="L182" s="400"/>
      <c r="M182" s="400"/>
      <c r="N182" s="1035"/>
      <c r="O182" s="336"/>
      <c r="P182" s="168">
        <f t="shared" si="76"/>
        <v>2460</v>
      </c>
      <c r="Q182" s="168">
        <f t="shared" si="75"/>
        <v>2280</v>
      </c>
      <c r="R182" s="983">
        <f t="shared" si="61"/>
        <v>92.682926829268297</v>
      </c>
    </row>
    <row r="183" spans="2:18" ht="12" customHeight="1" x14ac:dyDescent="0.2">
      <c r="B183" s="172">
        <f t="shared" si="72"/>
        <v>178</v>
      </c>
      <c r="C183" s="142"/>
      <c r="D183" s="166"/>
      <c r="E183" s="166"/>
      <c r="F183" s="127" t="s">
        <v>218</v>
      </c>
      <c r="G183" s="193" t="s">
        <v>789</v>
      </c>
      <c r="H183" s="436">
        <v>207</v>
      </c>
      <c r="I183" s="436">
        <v>207</v>
      </c>
      <c r="J183" s="978">
        <f t="shared" si="60"/>
        <v>100</v>
      </c>
      <c r="K183" s="336"/>
      <c r="L183" s="439"/>
      <c r="M183" s="439"/>
      <c r="N183" s="1040"/>
      <c r="O183" s="340"/>
      <c r="P183" s="169">
        <f t="shared" si="76"/>
        <v>207</v>
      </c>
      <c r="Q183" s="169">
        <f t="shared" si="75"/>
        <v>207</v>
      </c>
      <c r="R183" s="986">
        <f t="shared" si="61"/>
        <v>100</v>
      </c>
    </row>
    <row r="184" spans="2:18" ht="12" customHeight="1" x14ac:dyDescent="0.2">
      <c r="B184" s="172">
        <f t="shared" si="72"/>
        <v>179</v>
      </c>
      <c r="C184" s="142"/>
      <c r="D184" s="166"/>
      <c r="E184" s="166"/>
      <c r="F184" s="286" t="s">
        <v>653</v>
      </c>
      <c r="G184" s="201" t="s">
        <v>268</v>
      </c>
      <c r="H184" s="492">
        <v>0</v>
      </c>
      <c r="I184" s="492">
        <v>206</v>
      </c>
      <c r="J184" s="995">
        <v>0</v>
      </c>
      <c r="K184" s="336"/>
      <c r="L184" s="443"/>
      <c r="M184" s="443"/>
      <c r="N184" s="1041"/>
      <c r="O184" s="336"/>
      <c r="P184" s="655">
        <f t="shared" si="76"/>
        <v>0</v>
      </c>
      <c r="Q184" s="655">
        <f t="shared" si="75"/>
        <v>206</v>
      </c>
      <c r="R184" s="999">
        <v>0</v>
      </c>
    </row>
    <row r="185" spans="2:18" ht="15" x14ac:dyDescent="0.25">
      <c r="B185" s="172">
        <f t="shared" si="72"/>
        <v>180</v>
      </c>
      <c r="C185" s="74"/>
      <c r="D185" s="267">
        <v>2</v>
      </c>
      <c r="E185" s="267"/>
      <c r="F185" s="267" t="s">
        <v>366</v>
      </c>
      <c r="G185" s="268"/>
      <c r="H185" s="429">
        <f>H186+H197</f>
        <v>1136920</v>
      </c>
      <c r="I185" s="429">
        <f>I186+I197+I211</f>
        <v>1120394</v>
      </c>
      <c r="J185" s="995">
        <f t="shared" si="60"/>
        <v>98.546423670970697</v>
      </c>
      <c r="K185" s="334"/>
      <c r="L185" s="1095"/>
      <c r="M185" s="1095"/>
      <c r="N185" s="1040"/>
      <c r="O185" s="334"/>
      <c r="P185" s="1096">
        <f t="shared" si="76"/>
        <v>1136920</v>
      </c>
      <c r="Q185" s="1096">
        <f t="shared" si="75"/>
        <v>1120394</v>
      </c>
      <c r="R185" s="1001">
        <f t="shared" si="61"/>
        <v>98.546423670970697</v>
      </c>
    </row>
    <row r="186" spans="2:18" ht="14.25" x14ac:dyDescent="0.2">
      <c r="B186" s="172">
        <f t="shared" si="72"/>
        <v>181</v>
      </c>
      <c r="C186" s="74"/>
      <c r="D186" s="558"/>
      <c r="E186" s="565" t="s">
        <v>429</v>
      </c>
      <c r="F186" s="562" t="s">
        <v>687</v>
      </c>
      <c r="G186" s="561"/>
      <c r="H186" s="563">
        <f>H187+H188+H189+H196</f>
        <v>402991</v>
      </c>
      <c r="I186" s="563">
        <f t="shared" ref="I186" si="78">I187+I188+I189+I196</f>
        <v>399098</v>
      </c>
      <c r="J186" s="995">
        <f t="shared" si="60"/>
        <v>99.03397346342723</v>
      </c>
      <c r="K186" s="334"/>
      <c r="L186" s="560"/>
      <c r="M186" s="560"/>
      <c r="N186" s="1037"/>
      <c r="O186" s="334"/>
      <c r="P186" s="564">
        <f t="shared" si="76"/>
        <v>402991</v>
      </c>
      <c r="Q186" s="564">
        <f t="shared" si="75"/>
        <v>399098</v>
      </c>
      <c r="R186" s="1001">
        <f t="shared" si="61"/>
        <v>99.03397346342723</v>
      </c>
    </row>
    <row r="187" spans="2:18" ht="12" customHeight="1" x14ac:dyDescent="0.2">
      <c r="B187" s="172">
        <f t="shared" si="72"/>
        <v>182</v>
      </c>
      <c r="C187" s="142"/>
      <c r="D187" s="127"/>
      <c r="E187" s="143"/>
      <c r="F187" s="143" t="s">
        <v>211</v>
      </c>
      <c r="G187" s="201" t="s">
        <v>506</v>
      </c>
      <c r="H187" s="573">
        <f>244146-2572+8348+3901</f>
        <v>253823</v>
      </c>
      <c r="I187" s="573">
        <v>263969</v>
      </c>
      <c r="J187" s="965">
        <f t="shared" si="60"/>
        <v>103.9972736907215</v>
      </c>
      <c r="K187" s="336"/>
      <c r="L187" s="400"/>
      <c r="M187" s="400"/>
      <c r="N187" s="1035"/>
      <c r="O187" s="336"/>
      <c r="P187" s="167">
        <f t="shared" si="76"/>
        <v>253823</v>
      </c>
      <c r="Q187" s="167">
        <f t="shared" si="75"/>
        <v>263969</v>
      </c>
      <c r="R187" s="982">
        <f t="shared" si="61"/>
        <v>103.9972736907215</v>
      </c>
    </row>
    <row r="188" spans="2:18" ht="12" customHeight="1" x14ac:dyDescent="0.2">
      <c r="B188" s="172">
        <f t="shared" si="72"/>
        <v>183</v>
      </c>
      <c r="C188" s="142"/>
      <c r="D188" s="127"/>
      <c r="E188" s="143"/>
      <c r="F188" s="143" t="s">
        <v>212</v>
      </c>
      <c r="G188" s="201" t="s">
        <v>259</v>
      </c>
      <c r="H188" s="573">
        <f>85440-898+2929+1560</f>
        <v>89031</v>
      </c>
      <c r="I188" s="573">
        <v>88701</v>
      </c>
      <c r="J188" s="965">
        <f t="shared" si="60"/>
        <v>99.629342588536574</v>
      </c>
      <c r="K188" s="336"/>
      <c r="L188" s="400"/>
      <c r="M188" s="400"/>
      <c r="N188" s="1035"/>
      <c r="O188" s="336"/>
      <c r="P188" s="167">
        <f t="shared" si="76"/>
        <v>89031</v>
      </c>
      <c r="Q188" s="167">
        <f t="shared" si="75"/>
        <v>88701</v>
      </c>
      <c r="R188" s="982">
        <f t="shared" si="61"/>
        <v>99.629342588536574</v>
      </c>
    </row>
    <row r="189" spans="2:18" ht="12" customHeight="1" x14ac:dyDescent="0.2">
      <c r="B189" s="172">
        <f t="shared" si="72"/>
        <v>184</v>
      </c>
      <c r="C189" s="142"/>
      <c r="D189" s="127"/>
      <c r="E189" s="143"/>
      <c r="F189" s="143" t="s">
        <v>218</v>
      </c>
      <c r="G189" s="201" t="s">
        <v>341</v>
      </c>
      <c r="H189" s="573">
        <f>SUM(H190:H195)</f>
        <v>56858</v>
      </c>
      <c r="I189" s="573">
        <f t="shared" ref="I189" si="79">SUM(I190:I195)</f>
        <v>43813</v>
      </c>
      <c r="J189" s="965">
        <f t="shared" si="60"/>
        <v>77.056878539519502</v>
      </c>
      <c r="K189" s="336"/>
      <c r="L189" s="400"/>
      <c r="M189" s="400"/>
      <c r="N189" s="1035"/>
      <c r="O189" s="336"/>
      <c r="P189" s="167">
        <f t="shared" si="76"/>
        <v>56858</v>
      </c>
      <c r="Q189" s="167">
        <f t="shared" si="75"/>
        <v>43813</v>
      </c>
      <c r="R189" s="982">
        <f t="shared" si="61"/>
        <v>77.056878539519502</v>
      </c>
    </row>
    <row r="190" spans="2:18" ht="12" customHeight="1" x14ac:dyDescent="0.2">
      <c r="B190" s="172">
        <f t="shared" si="72"/>
        <v>185</v>
      </c>
      <c r="C190" s="126"/>
      <c r="D190" s="127"/>
      <c r="E190" s="127"/>
      <c r="F190" s="127" t="s">
        <v>213</v>
      </c>
      <c r="G190" s="193" t="s">
        <v>255</v>
      </c>
      <c r="H190" s="399">
        <v>16</v>
      </c>
      <c r="I190" s="399">
        <v>13</v>
      </c>
      <c r="J190" s="966">
        <f t="shared" si="60"/>
        <v>81.25</v>
      </c>
      <c r="K190" s="338"/>
      <c r="L190" s="441"/>
      <c r="M190" s="441"/>
      <c r="N190" s="1036"/>
      <c r="O190" s="338"/>
      <c r="P190" s="168">
        <f t="shared" si="76"/>
        <v>16</v>
      </c>
      <c r="Q190" s="168">
        <f t="shared" ref="Q190:Q257" si="80">I190+M190</f>
        <v>13</v>
      </c>
      <c r="R190" s="983">
        <f t="shared" si="61"/>
        <v>81.25</v>
      </c>
    </row>
    <row r="191" spans="2:18" ht="12" customHeight="1" x14ac:dyDescent="0.2">
      <c r="B191" s="172">
        <f t="shared" si="72"/>
        <v>186</v>
      </c>
      <c r="C191" s="126"/>
      <c r="D191" s="127"/>
      <c r="E191" s="127"/>
      <c r="F191" s="127" t="s">
        <v>199</v>
      </c>
      <c r="G191" s="193" t="s">
        <v>319</v>
      </c>
      <c r="H191" s="399">
        <f>44016-12896</f>
        <v>31120</v>
      </c>
      <c r="I191" s="399">
        <v>12415</v>
      </c>
      <c r="J191" s="966">
        <f t="shared" si="60"/>
        <v>39.8939588688946</v>
      </c>
      <c r="K191" s="338"/>
      <c r="L191" s="441"/>
      <c r="M191" s="441"/>
      <c r="N191" s="1036"/>
      <c r="O191" s="338"/>
      <c r="P191" s="168">
        <f t="shared" si="76"/>
        <v>31120</v>
      </c>
      <c r="Q191" s="168">
        <f t="shared" si="80"/>
        <v>12415</v>
      </c>
      <c r="R191" s="983">
        <f t="shared" si="61"/>
        <v>39.8939588688946</v>
      </c>
    </row>
    <row r="192" spans="2:18" ht="12" customHeight="1" x14ac:dyDescent="0.2">
      <c r="B192" s="172">
        <f t="shared" si="72"/>
        <v>187</v>
      </c>
      <c r="C192" s="126"/>
      <c r="D192" s="127"/>
      <c r="E192" s="127"/>
      <c r="F192" s="127" t="s">
        <v>200</v>
      </c>
      <c r="G192" s="193" t="s">
        <v>247</v>
      </c>
      <c r="H192" s="399">
        <v>11390</v>
      </c>
      <c r="I192" s="399">
        <v>15226</v>
      </c>
      <c r="J192" s="966">
        <f t="shared" si="60"/>
        <v>133.67866549604918</v>
      </c>
      <c r="K192" s="338"/>
      <c r="L192" s="441"/>
      <c r="M192" s="441"/>
      <c r="N192" s="1036"/>
      <c r="O192" s="338"/>
      <c r="P192" s="168">
        <f t="shared" si="76"/>
        <v>11390</v>
      </c>
      <c r="Q192" s="168">
        <f t="shared" si="80"/>
        <v>15226</v>
      </c>
      <c r="R192" s="983">
        <f t="shared" si="61"/>
        <v>133.67866549604918</v>
      </c>
    </row>
    <row r="193" spans="2:18" ht="12" customHeight="1" x14ac:dyDescent="0.2">
      <c r="B193" s="172">
        <f t="shared" si="72"/>
        <v>188</v>
      </c>
      <c r="C193" s="142"/>
      <c r="D193" s="127"/>
      <c r="E193" s="146"/>
      <c r="F193" s="127" t="s">
        <v>201</v>
      </c>
      <c r="G193" s="193" t="s">
        <v>367</v>
      </c>
      <c r="H193" s="399">
        <v>10</v>
      </c>
      <c r="I193" s="399">
        <v>10</v>
      </c>
      <c r="J193" s="966">
        <f t="shared" si="60"/>
        <v>100</v>
      </c>
      <c r="K193" s="336"/>
      <c r="L193" s="400"/>
      <c r="M193" s="400"/>
      <c r="N193" s="1035"/>
      <c r="O193" s="336"/>
      <c r="P193" s="168">
        <f t="shared" si="76"/>
        <v>10</v>
      </c>
      <c r="Q193" s="168">
        <f t="shared" si="80"/>
        <v>10</v>
      </c>
      <c r="R193" s="983">
        <f t="shared" si="61"/>
        <v>100</v>
      </c>
    </row>
    <row r="194" spans="2:18" ht="12" customHeight="1" x14ac:dyDescent="0.2">
      <c r="B194" s="172">
        <f t="shared" si="72"/>
        <v>189</v>
      </c>
      <c r="C194" s="74"/>
      <c r="D194" s="127"/>
      <c r="E194" s="146"/>
      <c r="F194" s="127" t="s">
        <v>214</v>
      </c>
      <c r="G194" s="193" t="s">
        <v>261</v>
      </c>
      <c r="H194" s="399">
        <f>1532+4304</f>
        <v>5836</v>
      </c>
      <c r="I194" s="399">
        <v>4366</v>
      </c>
      <c r="J194" s="966">
        <f t="shared" si="60"/>
        <v>74.811514736120628</v>
      </c>
      <c r="K194" s="338"/>
      <c r="L194" s="441"/>
      <c r="M194" s="441"/>
      <c r="N194" s="1036"/>
      <c r="O194" s="338"/>
      <c r="P194" s="168">
        <f t="shared" si="76"/>
        <v>5836</v>
      </c>
      <c r="Q194" s="168">
        <f t="shared" si="80"/>
        <v>4366</v>
      </c>
      <c r="R194" s="983">
        <f t="shared" si="61"/>
        <v>74.811514736120628</v>
      </c>
    </row>
    <row r="195" spans="2:18" ht="12" customHeight="1" x14ac:dyDescent="0.2">
      <c r="B195" s="172">
        <f t="shared" si="72"/>
        <v>190</v>
      </c>
      <c r="C195" s="126"/>
      <c r="D195" s="127"/>
      <c r="E195" s="146"/>
      <c r="F195" s="127" t="s">
        <v>216</v>
      </c>
      <c r="G195" s="193" t="s">
        <v>248</v>
      </c>
      <c r="H195" s="399">
        <v>8486</v>
      </c>
      <c r="I195" s="399">
        <v>11783</v>
      </c>
      <c r="J195" s="966">
        <f t="shared" si="60"/>
        <v>138.85222719773745</v>
      </c>
      <c r="K195" s="338"/>
      <c r="L195" s="441"/>
      <c r="M195" s="441"/>
      <c r="N195" s="1036"/>
      <c r="O195" s="338"/>
      <c r="P195" s="168">
        <f t="shared" si="76"/>
        <v>8486</v>
      </c>
      <c r="Q195" s="168">
        <f t="shared" si="80"/>
        <v>11783</v>
      </c>
      <c r="R195" s="983">
        <f t="shared" si="61"/>
        <v>138.85222719773745</v>
      </c>
    </row>
    <row r="196" spans="2:18" x14ac:dyDescent="0.2">
      <c r="B196" s="172">
        <f t="shared" si="72"/>
        <v>191</v>
      </c>
      <c r="C196" s="126"/>
      <c r="D196" s="127"/>
      <c r="E196" s="452"/>
      <c r="F196" s="286" t="s">
        <v>217</v>
      </c>
      <c r="G196" s="201" t="s">
        <v>372</v>
      </c>
      <c r="H196" s="573">
        <f>3440+200-361</f>
        <v>3279</v>
      </c>
      <c r="I196" s="573">
        <v>2615</v>
      </c>
      <c r="J196" s="965">
        <f t="shared" si="60"/>
        <v>79.749923757243053</v>
      </c>
      <c r="K196" s="339"/>
      <c r="L196" s="574"/>
      <c r="M196" s="574"/>
      <c r="N196" s="1037"/>
      <c r="O196" s="339"/>
      <c r="P196" s="575">
        <f>H196+L196</f>
        <v>3279</v>
      </c>
      <c r="Q196" s="575">
        <f t="shared" si="80"/>
        <v>2615</v>
      </c>
      <c r="R196" s="1001">
        <f t="shared" si="61"/>
        <v>79.749923757243053</v>
      </c>
    </row>
    <row r="197" spans="2:18" ht="14.25" x14ac:dyDescent="0.2">
      <c r="B197" s="172">
        <f t="shared" si="72"/>
        <v>192</v>
      </c>
      <c r="C197" s="126"/>
      <c r="D197" s="127"/>
      <c r="E197" s="565" t="s">
        <v>685</v>
      </c>
      <c r="F197" s="562" t="s">
        <v>686</v>
      </c>
      <c r="G197" s="558"/>
      <c r="H197" s="566">
        <f>H198+H199+H200+H209</f>
        <v>733929</v>
      </c>
      <c r="I197" s="566">
        <f t="shared" ref="I197" si="81">I198+I199+I200+I209</f>
        <v>720163</v>
      </c>
      <c r="J197" s="1028">
        <f t="shared" si="60"/>
        <v>98.124341727878303</v>
      </c>
      <c r="K197" s="338"/>
      <c r="L197" s="560"/>
      <c r="M197" s="560"/>
      <c r="N197" s="1037"/>
      <c r="O197" s="338"/>
      <c r="P197" s="564">
        <f t="shared" ref="P197:P220" si="82">H197+L197</f>
        <v>733929</v>
      </c>
      <c r="Q197" s="564">
        <f t="shared" si="80"/>
        <v>720163</v>
      </c>
      <c r="R197" s="1001">
        <f t="shared" si="61"/>
        <v>98.124341727878303</v>
      </c>
    </row>
    <row r="198" spans="2:18" x14ac:dyDescent="0.2">
      <c r="B198" s="172">
        <f t="shared" si="72"/>
        <v>193</v>
      </c>
      <c r="C198" s="126"/>
      <c r="D198" s="127"/>
      <c r="E198" s="166"/>
      <c r="F198" s="143" t="s">
        <v>211</v>
      </c>
      <c r="G198" s="201" t="s">
        <v>506</v>
      </c>
      <c r="H198" s="492">
        <f>375019+8890-3858+23052+3901</f>
        <v>407004</v>
      </c>
      <c r="I198" s="492">
        <v>393197</v>
      </c>
      <c r="J198" s="995">
        <f t="shared" si="60"/>
        <v>96.607650047665388</v>
      </c>
      <c r="K198" s="338"/>
      <c r="L198" s="574"/>
      <c r="M198" s="574"/>
      <c r="N198" s="1037"/>
      <c r="O198" s="338"/>
      <c r="P198" s="575">
        <f t="shared" si="82"/>
        <v>407004</v>
      </c>
      <c r="Q198" s="575">
        <f t="shared" si="80"/>
        <v>393197</v>
      </c>
      <c r="R198" s="1001">
        <f t="shared" si="61"/>
        <v>96.607650047665388</v>
      </c>
    </row>
    <row r="199" spans="2:18" x14ac:dyDescent="0.2">
      <c r="B199" s="172">
        <f t="shared" si="72"/>
        <v>194</v>
      </c>
      <c r="C199" s="126"/>
      <c r="D199" s="127"/>
      <c r="E199" s="166"/>
      <c r="F199" s="143" t="s">
        <v>212</v>
      </c>
      <c r="G199" s="201" t="s">
        <v>259</v>
      </c>
      <c r="H199" s="492">
        <f>131260+3110-1348+8082+1560</f>
        <v>142664</v>
      </c>
      <c r="I199" s="492">
        <v>140620</v>
      </c>
      <c r="J199" s="995">
        <f t="shared" si="60"/>
        <v>98.567262939494199</v>
      </c>
      <c r="K199" s="338"/>
      <c r="L199" s="574"/>
      <c r="M199" s="574"/>
      <c r="N199" s="1037"/>
      <c r="O199" s="338"/>
      <c r="P199" s="575">
        <f t="shared" si="82"/>
        <v>142664</v>
      </c>
      <c r="Q199" s="575">
        <f t="shared" si="80"/>
        <v>140620</v>
      </c>
      <c r="R199" s="1001">
        <f t="shared" si="61"/>
        <v>98.567262939494199</v>
      </c>
    </row>
    <row r="200" spans="2:18" x14ac:dyDescent="0.2">
      <c r="B200" s="172">
        <f t="shared" si="72"/>
        <v>195</v>
      </c>
      <c r="C200" s="126"/>
      <c r="D200" s="127"/>
      <c r="E200" s="166"/>
      <c r="F200" s="143" t="s">
        <v>218</v>
      </c>
      <c r="G200" s="201" t="s">
        <v>341</v>
      </c>
      <c r="H200" s="573">
        <f>SUM(H201:H208)</f>
        <v>181972</v>
      </c>
      <c r="I200" s="573">
        <f t="shared" ref="I200" si="83">SUM(I201:I208)</f>
        <v>183409</v>
      </c>
      <c r="J200" s="965">
        <f t="shared" si="60"/>
        <v>100.78968192908799</v>
      </c>
      <c r="K200" s="338"/>
      <c r="L200" s="574"/>
      <c r="M200" s="574"/>
      <c r="N200" s="1037"/>
      <c r="O200" s="338"/>
      <c r="P200" s="575">
        <f t="shared" si="82"/>
        <v>181972</v>
      </c>
      <c r="Q200" s="575">
        <f t="shared" si="80"/>
        <v>183409</v>
      </c>
      <c r="R200" s="1001">
        <f t="shared" si="61"/>
        <v>100.78968192908799</v>
      </c>
    </row>
    <row r="201" spans="2:18" x14ac:dyDescent="0.2">
      <c r="B201" s="172">
        <f t="shared" si="72"/>
        <v>196</v>
      </c>
      <c r="C201" s="126"/>
      <c r="D201" s="127"/>
      <c r="E201" s="166"/>
      <c r="F201" s="127" t="s">
        <v>213</v>
      </c>
      <c r="G201" s="193" t="s">
        <v>255</v>
      </c>
      <c r="H201" s="436">
        <v>24</v>
      </c>
      <c r="I201" s="436">
        <v>20</v>
      </c>
      <c r="J201" s="978">
        <f t="shared" ref="J201:J270" si="84">I201/H201*100</f>
        <v>83.333333333333343</v>
      </c>
      <c r="K201" s="338"/>
      <c r="L201" s="574"/>
      <c r="M201" s="574"/>
      <c r="N201" s="1037"/>
      <c r="O201" s="338"/>
      <c r="P201" s="169">
        <f t="shared" si="82"/>
        <v>24</v>
      </c>
      <c r="Q201" s="169">
        <f t="shared" si="80"/>
        <v>20</v>
      </c>
      <c r="R201" s="986">
        <f t="shared" ref="R201:R270" si="85">Q201/P201*100</f>
        <v>83.333333333333343</v>
      </c>
    </row>
    <row r="202" spans="2:18" x14ac:dyDescent="0.2">
      <c r="B202" s="172">
        <f t="shared" si="72"/>
        <v>197</v>
      </c>
      <c r="C202" s="126"/>
      <c r="D202" s="127"/>
      <c r="E202" s="166"/>
      <c r="F202" s="127" t="s">
        <v>199</v>
      </c>
      <c r="G202" s="193" t="s">
        <v>319</v>
      </c>
      <c r="H202" s="436">
        <f>122099+8275</f>
        <v>130374</v>
      </c>
      <c r="I202" s="436">
        <v>100625</v>
      </c>
      <c r="J202" s="978">
        <f t="shared" si="84"/>
        <v>77.181800052157641</v>
      </c>
      <c r="K202" s="338"/>
      <c r="L202" s="574"/>
      <c r="M202" s="574"/>
      <c r="N202" s="1037"/>
      <c r="O202" s="338"/>
      <c r="P202" s="169">
        <f t="shared" si="82"/>
        <v>130374</v>
      </c>
      <c r="Q202" s="169">
        <f t="shared" si="80"/>
        <v>100625</v>
      </c>
      <c r="R202" s="986">
        <f t="shared" si="85"/>
        <v>77.181800052157641</v>
      </c>
    </row>
    <row r="203" spans="2:18" x14ac:dyDescent="0.2">
      <c r="B203" s="172">
        <f t="shared" si="72"/>
        <v>198</v>
      </c>
      <c r="C203" s="126"/>
      <c r="D203" s="127"/>
      <c r="E203" s="166"/>
      <c r="F203" s="127" t="s">
        <v>200</v>
      </c>
      <c r="G203" s="193" t="s">
        <v>247</v>
      </c>
      <c r="H203" s="436">
        <f>17085+1211</f>
        <v>18296</v>
      </c>
      <c r="I203" s="436">
        <v>34151</v>
      </c>
      <c r="J203" s="978">
        <f t="shared" si="84"/>
        <v>186.65828596414516</v>
      </c>
      <c r="K203" s="338"/>
      <c r="L203" s="574"/>
      <c r="M203" s="574"/>
      <c r="N203" s="1037"/>
      <c r="O203" s="338"/>
      <c r="P203" s="169">
        <f t="shared" si="82"/>
        <v>18296</v>
      </c>
      <c r="Q203" s="169">
        <f t="shared" si="80"/>
        <v>34151</v>
      </c>
      <c r="R203" s="986">
        <f t="shared" si="85"/>
        <v>186.65828596414516</v>
      </c>
    </row>
    <row r="204" spans="2:18" x14ac:dyDescent="0.2">
      <c r="B204" s="172">
        <f t="shared" si="72"/>
        <v>199</v>
      </c>
      <c r="C204" s="126"/>
      <c r="D204" s="127"/>
      <c r="E204" s="166"/>
      <c r="F204" s="127" t="s">
        <v>201</v>
      </c>
      <c r="G204" s="193" t="s">
        <v>367</v>
      </c>
      <c r="H204" s="436">
        <v>15</v>
      </c>
      <c r="I204" s="436">
        <v>16</v>
      </c>
      <c r="J204" s="978">
        <f t="shared" si="84"/>
        <v>106.66666666666667</v>
      </c>
      <c r="K204" s="338"/>
      <c r="L204" s="574"/>
      <c r="M204" s="574"/>
      <c r="N204" s="1037"/>
      <c r="O204" s="338"/>
      <c r="P204" s="169">
        <f t="shared" si="82"/>
        <v>15</v>
      </c>
      <c r="Q204" s="169">
        <f t="shared" si="80"/>
        <v>16</v>
      </c>
      <c r="R204" s="986">
        <f t="shared" si="85"/>
        <v>106.66666666666667</v>
      </c>
    </row>
    <row r="205" spans="2:18" x14ac:dyDescent="0.2">
      <c r="B205" s="172">
        <f t="shared" si="72"/>
        <v>200</v>
      </c>
      <c r="C205" s="126"/>
      <c r="D205" s="127"/>
      <c r="E205" s="166"/>
      <c r="F205" s="127" t="s">
        <v>214</v>
      </c>
      <c r="G205" s="193" t="s">
        <v>261</v>
      </c>
      <c r="H205" s="436">
        <f>4498+6455</f>
        <v>10953</v>
      </c>
      <c r="I205" s="436">
        <v>19952</v>
      </c>
      <c r="J205" s="978">
        <f t="shared" si="84"/>
        <v>182.1601387747649</v>
      </c>
      <c r="K205" s="338"/>
      <c r="L205" s="574"/>
      <c r="M205" s="574"/>
      <c r="N205" s="1037"/>
      <c r="O205" s="338"/>
      <c r="P205" s="169">
        <f t="shared" si="82"/>
        <v>10953</v>
      </c>
      <c r="Q205" s="169">
        <f t="shared" si="80"/>
        <v>19952</v>
      </c>
      <c r="R205" s="986">
        <f t="shared" si="85"/>
        <v>182.1601387747649</v>
      </c>
    </row>
    <row r="206" spans="2:18" x14ac:dyDescent="0.2">
      <c r="B206" s="172">
        <f t="shared" si="72"/>
        <v>201</v>
      </c>
      <c r="C206" s="126"/>
      <c r="D206" s="127"/>
      <c r="E206" s="166"/>
      <c r="F206" s="127" t="s">
        <v>215</v>
      </c>
      <c r="G206" s="193" t="s">
        <v>347</v>
      </c>
      <c r="H206" s="436">
        <v>25</v>
      </c>
      <c r="I206" s="436">
        <v>15</v>
      </c>
      <c r="J206" s="978">
        <f t="shared" si="84"/>
        <v>60</v>
      </c>
      <c r="K206" s="338"/>
      <c r="L206" s="574"/>
      <c r="M206" s="574"/>
      <c r="N206" s="1037"/>
      <c r="O206" s="338"/>
      <c r="P206" s="169">
        <f t="shared" si="82"/>
        <v>25</v>
      </c>
      <c r="Q206" s="169">
        <f t="shared" si="80"/>
        <v>15</v>
      </c>
      <c r="R206" s="986">
        <f t="shared" si="85"/>
        <v>60</v>
      </c>
    </row>
    <row r="207" spans="2:18" x14ac:dyDescent="0.2">
      <c r="B207" s="172">
        <f t="shared" si="72"/>
        <v>202</v>
      </c>
      <c r="C207" s="126"/>
      <c r="D207" s="127"/>
      <c r="E207" s="166"/>
      <c r="F207" s="127" t="s">
        <v>216</v>
      </c>
      <c r="G207" s="193" t="s">
        <v>248</v>
      </c>
      <c r="H207" s="436">
        <f>22329-50</f>
        <v>22279</v>
      </c>
      <c r="I207" s="436">
        <v>28624</v>
      </c>
      <c r="J207" s="978">
        <f t="shared" si="84"/>
        <v>128.47973427891736</v>
      </c>
      <c r="K207" s="338"/>
      <c r="L207" s="574"/>
      <c r="M207" s="574"/>
      <c r="N207" s="1037"/>
      <c r="O207" s="338"/>
      <c r="P207" s="169">
        <f t="shared" si="82"/>
        <v>22279</v>
      </c>
      <c r="Q207" s="169">
        <f t="shared" si="80"/>
        <v>28624</v>
      </c>
      <c r="R207" s="986">
        <f t="shared" si="85"/>
        <v>128.47973427891736</v>
      </c>
    </row>
    <row r="208" spans="2:18" x14ac:dyDescent="0.2">
      <c r="B208" s="172">
        <f t="shared" si="72"/>
        <v>203</v>
      </c>
      <c r="C208" s="126"/>
      <c r="D208" s="127"/>
      <c r="E208" s="166"/>
      <c r="F208" s="170" t="s">
        <v>218</v>
      </c>
      <c r="G208" s="193" t="s">
        <v>789</v>
      </c>
      <c r="H208" s="436">
        <v>6</v>
      </c>
      <c r="I208" s="436">
        <v>6</v>
      </c>
      <c r="J208" s="978">
        <f t="shared" si="84"/>
        <v>100</v>
      </c>
      <c r="K208" s="338"/>
      <c r="L208" s="574"/>
      <c r="M208" s="574"/>
      <c r="N208" s="1037"/>
      <c r="O208" s="338"/>
      <c r="P208" s="169">
        <f t="shared" si="82"/>
        <v>6</v>
      </c>
      <c r="Q208" s="169">
        <f t="shared" si="80"/>
        <v>6</v>
      </c>
      <c r="R208" s="986">
        <f t="shared" si="85"/>
        <v>100</v>
      </c>
    </row>
    <row r="209" spans="1:18" x14ac:dyDescent="0.2">
      <c r="B209" s="172">
        <f t="shared" si="72"/>
        <v>204</v>
      </c>
      <c r="C209" s="126"/>
      <c r="D209" s="127"/>
      <c r="E209" s="166"/>
      <c r="F209" s="286" t="s">
        <v>217</v>
      </c>
      <c r="G209" s="201" t="s">
        <v>372</v>
      </c>
      <c r="H209" s="492">
        <f>5160+300-3171</f>
        <v>2289</v>
      </c>
      <c r="I209" s="492">
        <v>2937</v>
      </c>
      <c r="J209" s="995">
        <f t="shared" si="84"/>
        <v>128.30930537352558</v>
      </c>
      <c r="K209" s="338"/>
      <c r="L209" s="574"/>
      <c r="M209" s="574"/>
      <c r="N209" s="1037"/>
      <c r="O209" s="338"/>
      <c r="P209" s="575">
        <f t="shared" si="82"/>
        <v>2289</v>
      </c>
      <c r="Q209" s="575">
        <f t="shared" si="80"/>
        <v>2937</v>
      </c>
      <c r="R209" s="1001">
        <f t="shared" si="85"/>
        <v>128.30930537352558</v>
      </c>
    </row>
    <row r="210" spans="1:18" x14ac:dyDescent="0.2">
      <c r="B210" s="172">
        <f t="shared" si="72"/>
        <v>205</v>
      </c>
      <c r="C210" s="126"/>
      <c r="D210" s="127"/>
      <c r="E210" s="166"/>
      <c r="F210" s="143"/>
      <c r="G210" s="201"/>
      <c r="H210" s="492"/>
      <c r="I210" s="492"/>
      <c r="J210" s="995"/>
      <c r="K210" s="338"/>
      <c r="L210" s="574"/>
      <c r="M210" s="574"/>
      <c r="N210" s="1037"/>
      <c r="O210" s="338"/>
      <c r="P210" s="575"/>
      <c r="Q210" s="575"/>
      <c r="R210" s="1001"/>
    </row>
    <row r="211" spans="1:18" x14ac:dyDescent="0.2">
      <c r="B211" s="172">
        <f t="shared" si="72"/>
        <v>206</v>
      </c>
      <c r="C211" s="126"/>
      <c r="D211" s="127"/>
      <c r="E211" s="166" t="s">
        <v>675</v>
      </c>
      <c r="F211" s="143" t="s">
        <v>217</v>
      </c>
      <c r="G211" s="201" t="s">
        <v>911</v>
      </c>
      <c r="H211" s="492">
        <v>0</v>
      </c>
      <c r="I211" s="492">
        <v>1133</v>
      </c>
      <c r="J211" s="995"/>
      <c r="K211" s="338"/>
      <c r="L211" s="574"/>
      <c r="M211" s="574"/>
      <c r="N211" s="1037"/>
      <c r="O211" s="338"/>
      <c r="P211" s="575">
        <f t="shared" ref="P211" si="86">H211+L211</f>
        <v>0</v>
      </c>
      <c r="Q211" s="575">
        <f t="shared" ref="Q211" si="87">I211+M211</f>
        <v>1133</v>
      </c>
      <c r="R211" s="1001"/>
    </row>
    <row r="212" spans="1:18" ht="15" x14ac:dyDescent="0.25">
      <c r="B212" s="172">
        <f t="shared" si="72"/>
        <v>207</v>
      </c>
      <c r="C212" s="142"/>
      <c r="D212" s="262" t="s">
        <v>6</v>
      </c>
      <c r="E212" s="267" t="s">
        <v>430</v>
      </c>
      <c r="F212" s="267" t="s">
        <v>368</v>
      </c>
      <c r="G212" s="268"/>
      <c r="H212" s="429">
        <f>H213+H223</f>
        <v>1354254</v>
      </c>
      <c r="I212" s="429">
        <f>I213+I223+I236</f>
        <v>1355369</v>
      </c>
      <c r="J212" s="995">
        <f t="shared" si="84"/>
        <v>100.08233315168351</v>
      </c>
      <c r="K212" s="335"/>
      <c r="L212" s="529"/>
      <c r="M212" s="529"/>
      <c r="N212" s="1040"/>
      <c r="O212" s="335"/>
      <c r="P212" s="344">
        <f t="shared" si="82"/>
        <v>1354254</v>
      </c>
      <c r="Q212" s="344">
        <f t="shared" si="80"/>
        <v>1355369</v>
      </c>
      <c r="R212" s="1001">
        <f t="shared" si="85"/>
        <v>100.08233315168351</v>
      </c>
    </row>
    <row r="213" spans="1:18" ht="14.25" x14ac:dyDescent="0.2">
      <c r="B213" s="172">
        <f t="shared" si="72"/>
        <v>208</v>
      </c>
      <c r="C213" s="74"/>
      <c r="D213" s="558"/>
      <c r="E213" s="565" t="s">
        <v>429</v>
      </c>
      <c r="F213" s="562" t="s">
        <v>687</v>
      </c>
      <c r="G213" s="561"/>
      <c r="H213" s="563">
        <f>H214+H215+H216+H222</f>
        <v>465695</v>
      </c>
      <c r="I213" s="563">
        <f>I214+I215+I216+I222</f>
        <v>481799</v>
      </c>
      <c r="J213" s="995">
        <f t="shared" si="84"/>
        <v>103.45805731218931</v>
      </c>
      <c r="K213" s="334"/>
      <c r="L213" s="560"/>
      <c r="M213" s="560"/>
      <c r="N213" s="1037"/>
      <c r="O213" s="334"/>
      <c r="P213" s="564">
        <f t="shared" si="82"/>
        <v>465695</v>
      </c>
      <c r="Q213" s="564">
        <f t="shared" si="80"/>
        <v>481799</v>
      </c>
      <c r="R213" s="1001">
        <f t="shared" si="85"/>
        <v>103.45805731218931</v>
      </c>
    </row>
    <row r="214" spans="1:18" ht="12" customHeight="1" x14ac:dyDescent="0.2">
      <c r="B214" s="172">
        <f t="shared" si="72"/>
        <v>209</v>
      </c>
      <c r="C214" s="142"/>
      <c r="D214" s="143"/>
      <c r="E214" s="143"/>
      <c r="F214" s="143" t="s">
        <v>211</v>
      </c>
      <c r="G214" s="201" t="s">
        <v>506</v>
      </c>
      <c r="H214" s="573">
        <f>298656+14480-27981+4712</f>
        <v>289867</v>
      </c>
      <c r="I214" s="573">
        <v>289750</v>
      </c>
      <c r="J214" s="965">
        <f t="shared" si="84"/>
        <v>99.959636660951404</v>
      </c>
      <c r="K214" s="336"/>
      <c r="L214" s="400"/>
      <c r="M214" s="400"/>
      <c r="N214" s="1035"/>
      <c r="O214" s="336"/>
      <c r="P214" s="575">
        <f t="shared" si="82"/>
        <v>289867</v>
      </c>
      <c r="Q214" s="575">
        <f t="shared" si="80"/>
        <v>289750</v>
      </c>
      <c r="R214" s="1001">
        <f t="shared" si="85"/>
        <v>99.959636660951404</v>
      </c>
    </row>
    <row r="215" spans="1:18" ht="12" customHeight="1" x14ac:dyDescent="0.2">
      <c r="B215" s="172">
        <f t="shared" si="72"/>
        <v>210</v>
      </c>
      <c r="C215" s="142"/>
      <c r="D215" s="143"/>
      <c r="E215" s="143"/>
      <c r="F215" s="143" t="s">
        <v>212</v>
      </c>
      <c r="G215" s="201" t="s">
        <v>259</v>
      </c>
      <c r="H215" s="573">
        <f>104530+5028-9750+1884</f>
        <v>101692</v>
      </c>
      <c r="I215" s="573">
        <v>106681</v>
      </c>
      <c r="J215" s="965">
        <f t="shared" si="84"/>
        <v>104.90599063839829</v>
      </c>
      <c r="K215" s="336"/>
      <c r="L215" s="400"/>
      <c r="M215" s="400"/>
      <c r="N215" s="1035"/>
      <c r="O215" s="336"/>
      <c r="P215" s="167">
        <f t="shared" si="82"/>
        <v>101692</v>
      </c>
      <c r="Q215" s="167">
        <f t="shared" si="80"/>
        <v>106681</v>
      </c>
      <c r="R215" s="982">
        <f t="shared" si="85"/>
        <v>104.90599063839829</v>
      </c>
    </row>
    <row r="216" spans="1:18" ht="12" customHeight="1" x14ac:dyDescent="0.2">
      <c r="B216" s="172">
        <f t="shared" si="72"/>
        <v>211</v>
      </c>
      <c r="C216" s="126"/>
      <c r="D216" s="127"/>
      <c r="E216" s="127"/>
      <c r="F216" s="143" t="s">
        <v>218</v>
      </c>
      <c r="G216" s="201" t="s">
        <v>341</v>
      </c>
      <c r="H216" s="573">
        <f>SUM(H218:H221)</f>
        <v>70453</v>
      </c>
      <c r="I216" s="573">
        <f>SUM(I217:I221)</f>
        <v>81723</v>
      </c>
      <c r="J216" s="965">
        <f t="shared" si="84"/>
        <v>115.99647992278541</v>
      </c>
      <c r="K216" s="338"/>
      <c r="L216" s="441"/>
      <c r="M216" s="441"/>
      <c r="N216" s="1036"/>
      <c r="O216" s="338"/>
      <c r="P216" s="167">
        <f t="shared" si="82"/>
        <v>70453</v>
      </c>
      <c r="Q216" s="167">
        <f t="shared" si="80"/>
        <v>81723</v>
      </c>
      <c r="R216" s="982">
        <f t="shared" si="85"/>
        <v>115.99647992278541</v>
      </c>
    </row>
    <row r="217" spans="1:18" ht="12" customHeight="1" x14ac:dyDescent="0.2">
      <c r="B217" s="172">
        <f t="shared" si="72"/>
        <v>212</v>
      </c>
      <c r="C217" s="126"/>
      <c r="D217" s="127"/>
      <c r="E217" s="127"/>
      <c r="F217" s="127" t="s">
        <v>213</v>
      </c>
      <c r="G217" s="193" t="s">
        <v>255</v>
      </c>
      <c r="H217" s="399">
        <v>0</v>
      </c>
      <c r="I217" s="399">
        <v>36</v>
      </c>
      <c r="J217" s="966">
        <v>0</v>
      </c>
      <c r="K217" s="338"/>
      <c r="L217" s="441"/>
      <c r="M217" s="441"/>
      <c r="N217" s="1036"/>
      <c r="O217" s="338"/>
      <c r="P217" s="168">
        <f t="shared" ref="P217" si="88">H217+L217</f>
        <v>0</v>
      </c>
      <c r="Q217" s="168">
        <f t="shared" ref="Q217" si="89">I217+M217</f>
        <v>36</v>
      </c>
      <c r="R217" s="983">
        <v>0</v>
      </c>
    </row>
    <row r="218" spans="1:18" ht="12" customHeight="1" x14ac:dyDescent="0.2">
      <c r="B218" s="172">
        <f t="shared" si="72"/>
        <v>213</v>
      </c>
      <c r="C218" s="126"/>
      <c r="D218" s="127"/>
      <c r="E218" s="127"/>
      <c r="F218" s="127" t="s">
        <v>199</v>
      </c>
      <c r="G218" s="193" t="s">
        <v>319</v>
      </c>
      <c r="H218" s="399">
        <f>48376+10517-12080</f>
        <v>46813</v>
      </c>
      <c r="I218" s="399">
        <v>50404</v>
      </c>
      <c r="J218" s="966">
        <f t="shared" si="84"/>
        <v>107.6709461047145</v>
      </c>
      <c r="K218" s="338"/>
      <c r="L218" s="441"/>
      <c r="M218" s="441"/>
      <c r="N218" s="1036"/>
      <c r="O218" s="338"/>
      <c r="P218" s="168">
        <f t="shared" si="82"/>
        <v>46813</v>
      </c>
      <c r="Q218" s="168">
        <f t="shared" si="80"/>
        <v>50404</v>
      </c>
      <c r="R218" s="983">
        <f t="shared" si="85"/>
        <v>107.6709461047145</v>
      </c>
    </row>
    <row r="219" spans="1:18" ht="12" customHeight="1" x14ac:dyDescent="0.2">
      <c r="B219" s="172">
        <f t="shared" si="72"/>
        <v>214</v>
      </c>
      <c r="C219" s="126"/>
      <c r="D219" s="127"/>
      <c r="E219" s="127"/>
      <c r="F219" s="127" t="s">
        <v>200</v>
      </c>
      <c r="G219" s="193" t="s">
        <v>247</v>
      </c>
      <c r="H219" s="399">
        <f>12046-2360</f>
        <v>9686</v>
      </c>
      <c r="I219" s="399">
        <v>13900</v>
      </c>
      <c r="J219" s="966">
        <f t="shared" si="84"/>
        <v>143.50609126574437</v>
      </c>
      <c r="K219" s="338"/>
      <c r="L219" s="441"/>
      <c r="M219" s="441"/>
      <c r="N219" s="1036"/>
      <c r="O219" s="338"/>
      <c r="P219" s="168">
        <f t="shared" si="82"/>
        <v>9686</v>
      </c>
      <c r="Q219" s="168">
        <f t="shared" si="80"/>
        <v>13900</v>
      </c>
      <c r="R219" s="983">
        <f t="shared" si="85"/>
        <v>143.50609126574437</v>
      </c>
    </row>
    <row r="220" spans="1:18" ht="12" customHeight="1" x14ac:dyDescent="0.2">
      <c r="B220" s="172">
        <f t="shared" si="72"/>
        <v>215</v>
      </c>
      <c r="C220" s="126"/>
      <c r="D220" s="127"/>
      <c r="E220" s="127"/>
      <c r="F220" s="127" t="s">
        <v>214</v>
      </c>
      <c r="G220" s="193" t="s">
        <v>261</v>
      </c>
      <c r="H220" s="399">
        <f>4460-1000</f>
        <v>3460</v>
      </c>
      <c r="I220" s="399">
        <v>6634</v>
      </c>
      <c r="J220" s="966">
        <f t="shared" si="84"/>
        <v>191.73410404624278</v>
      </c>
      <c r="K220" s="338"/>
      <c r="L220" s="441"/>
      <c r="M220" s="441"/>
      <c r="N220" s="1036"/>
      <c r="O220" s="338"/>
      <c r="P220" s="168">
        <f t="shared" si="82"/>
        <v>3460</v>
      </c>
      <c r="Q220" s="168">
        <f t="shared" si="80"/>
        <v>6634</v>
      </c>
      <c r="R220" s="983">
        <f t="shared" si="85"/>
        <v>191.73410404624278</v>
      </c>
    </row>
    <row r="221" spans="1:18" s="115" customFormat="1" ht="12" customHeight="1" x14ac:dyDescent="0.2">
      <c r="A221" s="243"/>
      <c r="B221" s="172">
        <f t="shared" si="72"/>
        <v>216</v>
      </c>
      <c r="C221" s="126"/>
      <c r="D221" s="127"/>
      <c r="E221" s="127"/>
      <c r="F221" s="127" t="s">
        <v>216</v>
      </c>
      <c r="G221" s="193" t="s">
        <v>248</v>
      </c>
      <c r="H221" s="436">
        <f>13228-2734</f>
        <v>10494</v>
      </c>
      <c r="I221" s="436">
        <v>10749</v>
      </c>
      <c r="J221" s="978">
        <f t="shared" si="84"/>
        <v>102.42995997712978</v>
      </c>
      <c r="K221" s="339"/>
      <c r="L221" s="574"/>
      <c r="M221" s="574"/>
      <c r="N221" s="1037"/>
      <c r="O221" s="339"/>
      <c r="P221" s="169">
        <f>H221+L221</f>
        <v>10494</v>
      </c>
      <c r="Q221" s="169">
        <f t="shared" si="80"/>
        <v>10749</v>
      </c>
      <c r="R221" s="986">
        <f t="shared" si="85"/>
        <v>102.42995997712978</v>
      </c>
    </row>
    <row r="222" spans="1:18" x14ac:dyDescent="0.2">
      <c r="B222" s="172">
        <f t="shared" si="72"/>
        <v>217</v>
      </c>
      <c r="C222" s="126"/>
      <c r="D222" s="127"/>
      <c r="E222" s="127"/>
      <c r="F222" s="143" t="s">
        <v>217</v>
      </c>
      <c r="G222" s="201" t="s">
        <v>372</v>
      </c>
      <c r="H222" s="573">
        <f>3830-440+293</f>
        <v>3683</v>
      </c>
      <c r="I222" s="573">
        <v>3645</v>
      </c>
      <c r="J222" s="965">
        <f t="shared" si="84"/>
        <v>98.968232419223455</v>
      </c>
      <c r="K222" s="343"/>
      <c r="L222" s="574"/>
      <c r="M222" s="574"/>
      <c r="N222" s="1037"/>
      <c r="O222" s="343"/>
      <c r="P222" s="167">
        <f>H222+L222</f>
        <v>3683</v>
      </c>
      <c r="Q222" s="167">
        <f t="shared" si="80"/>
        <v>3645</v>
      </c>
      <c r="R222" s="982">
        <f t="shared" si="85"/>
        <v>98.968232419223455</v>
      </c>
    </row>
    <row r="223" spans="1:18" ht="14.25" x14ac:dyDescent="0.2">
      <c r="B223" s="172">
        <f t="shared" si="72"/>
        <v>218</v>
      </c>
      <c r="C223" s="126"/>
      <c r="D223" s="127"/>
      <c r="E223" s="565" t="s">
        <v>685</v>
      </c>
      <c r="F223" s="562" t="s">
        <v>686</v>
      </c>
      <c r="G223" s="558"/>
      <c r="H223" s="566">
        <f>H224+H225+H226+H234</f>
        <v>888559</v>
      </c>
      <c r="I223" s="566">
        <f t="shared" ref="I223" si="90">I224+I225+I226+I234</f>
        <v>872372</v>
      </c>
      <c r="J223" s="1028">
        <f t="shared" si="84"/>
        <v>98.178286416546342</v>
      </c>
      <c r="K223" s="338"/>
      <c r="L223" s="560"/>
      <c r="M223" s="560"/>
      <c r="N223" s="1037"/>
      <c r="O223" s="338"/>
      <c r="P223" s="564">
        <f t="shared" ref="P223:P246" si="91">H223+L223</f>
        <v>888559</v>
      </c>
      <c r="Q223" s="564">
        <f t="shared" si="80"/>
        <v>872372</v>
      </c>
      <c r="R223" s="1001">
        <f t="shared" si="85"/>
        <v>98.178286416546342</v>
      </c>
    </row>
    <row r="224" spans="1:18" x14ac:dyDescent="0.2">
      <c r="B224" s="172">
        <f t="shared" si="72"/>
        <v>219</v>
      </c>
      <c r="C224" s="126"/>
      <c r="D224" s="127"/>
      <c r="E224" s="166"/>
      <c r="F224" s="143" t="s">
        <v>211</v>
      </c>
      <c r="G224" s="201" t="s">
        <v>506</v>
      </c>
      <c r="H224" s="492">
        <f>458464+21720+58206+4713</f>
        <v>543103</v>
      </c>
      <c r="I224" s="492">
        <v>534699</v>
      </c>
      <c r="J224" s="995">
        <f t="shared" si="84"/>
        <v>98.452595548174102</v>
      </c>
      <c r="K224" s="338"/>
      <c r="L224" s="574"/>
      <c r="M224" s="574"/>
      <c r="N224" s="1037"/>
      <c r="O224" s="338"/>
      <c r="P224" s="575">
        <f t="shared" si="91"/>
        <v>543103</v>
      </c>
      <c r="Q224" s="575">
        <f t="shared" si="80"/>
        <v>534699</v>
      </c>
      <c r="R224" s="1001">
        <f t="shared" si="85"/>
        <v>98.452595548174102</v>
      </c>
    </row>
    <row r="225" spans="2:18" x14ac:dyDescent="0.2">
      <c r="B225" s="172">
        <f t="shared" si="72"/>
        <v>220</v>
      </c>
      <c r="C225" s="126"/>
      <c r="D225" s="127"/>
      <c r="E225" s="166"/>
      <c r="F225" s="143" t="s">
        <v>212</v>
      </c>
      <c r="G225" s="201" t="s">
        <v>259</v>
      </c>
      <c r="H225" s="492">
        <f>160290+7542+20417+1885</f>
        <v>190134</v>
      </c>
      <c r="I225" s="492">
        <v>193666</v>
      </c>
      <c r="J225" s="995">
        <f t="shared" si="84"/>
        <v>101.85763724531121</v>
      </c>
      <c r="K225" s="338"/>
      <c r="L225" s="574"/>
      <c r="M225" s="574"/>
      <c r="N225" s="1037"/>
      <c r="O225" s="338"/>
      <c r="P225" s="575">
        <f t="shared" si="91"/>
        <v>190134</v>
      </c>
      <c r="Q225" s="575">
        <f t="shared" si="80"/>
        <v>193666</v>
      </c>
      <c r="R225" s="1001">
        <f t="shared" si="85"/>
        <v>101.85763724531121</v>
      </c>
    </row>
    <row r="226" spans="2:18" x14ac:dyDescent="0.2">
      <c r="B226" s="172">
        <f t="shared" si="72"/>
        <v>221</v>
      </c>
      <c r="C226" s="126"/>
      <c r="D226" s="127"/>
      <c r="E226" s="166"/>
      <c r="F226" s="143" t="s">
        <v>218</v>
      </c>
      <c r="G226" s="201" t="s">
        <v>341</v>
      </c>
      <c r="H226" s="492">
        <f>SUM(H227:H233)</f>
        <v>152687</v>
      </c>
      <c r="I226" s="492">
        <f t="shared" ref="I226" si="92">SUM(I227:I233)</f>
        <v>141418</v>
      </c>
      <c r="J226" s="995">
        <f t="shared" si="84"/>
        <v>92.619541938737413</v>
      </c>
      <c r="K226" s="338"/>
      <c r="L226" s="574"/>
      <c r="M226" s="574"/>
      <c r="N226" s="1037"/>
      <c r="O226" s="338"/>
      <c r="P226" s="575">
        <f t="shared" si="91"/>
        <v>152687</v>
      </c>
      <c r="Q226" s="575">
        <f t="shared" si="80"/>
        <v>141418</v>
      </c>
      <c r="R226" s="1001">
        <f t="shared" si="85"/>
        <v>92.619541938737413</v>
      </c>
    </row>
    <row r="227" spans="2:18" x14ac:dyDescent="0.2">
      <c r="B227" s="172">
        <f t="shared" si="72"/>
        <v>222</v>
      </c>
      <c r="C227" s="126"/>
      <c r="D227" s="127"/>
      <c r="E227" s="166"/>
      <c r="F227" s="127" t="s">
        <v>213</v>
      </c>
      <c r="G227" s="193" t="s">
        <v>255</v>
      </c>
      <c r="H227" s="436">
        <v>30</v>
      </c>
      <c r="I227" s="436">
        <v>0</v>
      </c>
      <c r="J227" s="978">
        <f t="shared" si="84"/>
        <v>0</v>
      </c>
      <c r="K227" s="338"/>
      <c r="L227" s="574"/>
      <c r="M227" s="574"/>
      <c r="N227" s="1037"/>
      <c r="O227" s="338"/>
      <c r="P227" s="169">
        <f t="shared" si="91"/>
        <v>30</v>
      </c>
      <c r="Q227" s="169">
        <f t="shared" si="80"/>
        <v>0</v>
      </c>
      <c r="R227" s="986">
        <f t="shared" si="85"/>
        <v>0</v>
      </c>
    </row>
    <row r="228" spans="2:18" x14ac:dyDescent="0.2">
      <c r="B228" s="172">
        <f t="shared" si="72"/>
        <v>223</v>
      </c>
      <c r="C228" s="126"/>
      <c r="D228" s="127"/>
      <c r="E228" s="166"/>
      <c r="F228" s="127" t="s">
        <v>199</v>
      </c>
      <c r="G228" s="193" t="s">
        <v>319</v>
      </c>
      <c r="H228" s="436">
        <f>82564+15776-18000</f>
        <v>80340</v>
      </c>
      <c r="I228" s="436">
        <v>59075</v>
      </c>
      <c r="J228" s="978">
        <f t="shared" si="84"/>
        <v>73.531242220562604</v>
      </c>
      <c r="K228" s="338"/>
      <c r="L228" s="574"/>
      <c r="M228" s="574"/>
      <c r="N228" s="1037"/>
      <c r="O228" s="338"/>
      <c r="P228" s="169">
        <f t="shared" si="91"/>
        <v>80340</v>
      </c>
      <c r="Q228" s="169">
        <f t="shared" si="80"/>
        <v>59075</v>
      </c>
      <c r="R228" s="986">
        <f t="shared" si="85"/>
        <v>73.531242220562604</v>
      </c>
    </row>
    <row r="229" spans="2:18" x14ac:dyDescent="0.2">
      <c r="B229" s="172">
        <f t="shared" si="72"/>
        <v>224</v>
      </c>
      <c r="C229" s="126"/>
      <c r="D229" s="127"/>
      <c r="E229" s="166"/>
      <c r="F229" s="127" t="s">
        <v>200</v>
      </c>
      <c r="G229" s="193" t="s">
        <v>247</v>
      </c>
      <c r="H229" s="436">
        <f>23094+149</f>
        <v>23243</v>
      </c>
      <c r="I229" s="436">
        <v>26814</v>
      </c>
      <c r="J229" s="978">
        <f t="shared" si="84"/>
        <v>115.36376543475455</v>
      </c>
      <c r="K229" s="338"/>
      <c r="L229" s="574"/>
      <c r="M229" s="574"/>
      <c r="N229" s="1037"/>
      <c r="O229" s="338"/>
      <c r="P229" s="169">
        <f t="shared" si="91"/>
        <v>23243</v>
      </c>
      <c r="Q229" s="169">
        <f t="shared" si="80"/>
        <v>26814</v>
      </c>
      <c r="R229" s="986">
        <f t="shared" si="85"/>
        <v>115.36376543475455</v>
      </c>
    </row>
    <row r="230" spans="2:18" x14ac:dyDescent="0.2">
      <c r="B230" s="172">
        <f t="shared" si="72"/>
        <v>225</v>
      </c>
      <c r="C230" s="126"/>
      <c r="D230" s="127"/>
      <c r="E230" s="166"/>
      <c r="F230" s="127" t="s">
        <v>214</v>
      </c>
      <c r="G230" s="193" t="s">
        <v>261</v>
      </c>
      <c r="H230" s="436">
        <f>12690-1190</f>
        <v>11500</v>
      </c>
      <c r="I230" s="436">
        <v>11468</v>
      </c>
      <c r="J230" s="978">
        <f t="shared" si="84"/>
        <v>99.721739130434784</v>
      </c>
      <c r="K230" s="338"/>
      <c r="L230" s="574"/>
      <c r="M230" s="574"/>
      <c r="N230" s="1037"/>
      <c r="O230" s="338"/>
      <c r="P230" s="169">
        <f t="shared" si="91"/>
        <v>11500</v>
      </c>
      <c r="Q230" s="169">
        <f t="shared" si="80"/>
        <v>11468</v>
      </c>
      <c r="R230" s="986">
        <f t="shared" si="85"/>
        <v>99.721739130434784</v>
      </c>
    </row>
    <row r="231" spans="2:18" x14ac:dyDescent="0.2">
      <c r="B231" s="172">
        <f t="shared" si="72"/>
        <v>226</v>
      </c>
      <c r="C231" s="126"/>
      <c r="D231" s="127"/>
      <c r="E231" s="166"/>
      <c r="F231" s="127" t="s">
        <v>215</v>
      </c>
      <c r="G231" s="193" t="s">
        <v>635</v>
      </c>
      <c r="H231" s="436">
        <f>20000+800</f>
        <v>20800</v>
      </c>
      <c r="I231" s="436">
        <v>20800</v>
      </c>
      <c r="J231" s="978">
        <f t="shared" si="84"/>
        <v>100</v>
      </c>
      <c r="K231" s="338"/>
      <c r="L231" s="574"/>
      <c r="M231" s="574"/>
      <c r="N231" s="1037"/>
      <c r="O231" s="338"/>
      <c r="P231" s="169">
        <f t="shared" si="91"/>
        <v>20800</v>
      </c>
      <c r="Q231" s="169">
        <f t="shared" si="80"/>
        <v>20800</v>
      </c>
      <c r="R231" s="986">
        <f t="shared" si="85"/>
        <v>100</v>
      </c>
    </row>
    <row r="232" spans="2:18" x14ac:dyDescent="0.2">
      <c r="B232" s="172">
        <f t="shared" si="72"/>
        <v>227</v>
      </c>
      <c r="C232" s="126"/>
      <c r="D232" s="127"/>
      <c r="E232" s="166"/>
      <c r="F232" s="127" t="s">
        <v>216</v>
      </c>
      <c r="G232" s="193" t="s">
        <v>248</v>
      </c>
      <c r="H232" s="436">
        <f>19842-3562</f>
        <v>16280</v>
      </c>
      <c r="I232" s="436">
        <v>22767</v>
      </c>
      <c r="J232" s="978">
        <f t="shared" si="84"/>
        <v>139.84643734643734</v>
      </c>
      <c r="K232" s="338"/>
      <c r="L232" s="574"/>
      <c r="M232" s="574"/>
      <c r="N232" s="1037"/>
      <c r="O232" s="338"/>
      <c r="P232" s="169">
        <f t="shared" si="91"/>
        <v>16280</v>
      </c>
      <c r="Q232" s="169">
        <f t="shared" si="80"/>
        <v>22767</v>
      </c>
      <c r="R232" s="986">
        <f t="shared" si="85"/>
        <v>139.84643734643734</v>
      </c>
    </row>
    <row r="233" spans="2:18" x14ac:dyDescent="0.2">
      <c r="B233" s="172">
        <f t="shared" ref="B233:B239" si="93">B232+1</f>
        <v>228</v>
      </c>
      <c r="C233" s="126"/>
      <c r="D233" s="127"/>
      <c r="E233" s="166"/>
      <c r="F233" s="127" t="s">
        <v>218</v>
      </c>
      <c r="G233" s="193" t="s">
        <v>789</v>
      </c>
      <c r="H233" s="436">
        <v>494</v>
      </c>
      <c r="I233" s="436">
        <v>494</v>
      </c>
      <c r="J233" s="978">
        <f t="shared" si="84"/>
        <v>100</v>
      </c>
      <c r="K233" s="338"/>
      <c r="L233" s="574"/>
      <c r="M233" s="574"/>
      <c r="N233" s="1037"/>
      <c r="O233" s="338"/>
      <c r="P233" s="169">
        <f t="shared" si="91"/>
        <v>494</v>
      </c>
      <c r="Q233" s="169">
        <f t="shared" si="80"/>
        <v>494</v>
      </c>
      <c r="R233" s="986">
        <f t="shared" si="85"/>
        <v>100</v>
      </c>
    </row>
    <row r="234" spans="2:18" x14ac:dyDescent="0.2">
      <c r="B234" s="172">
        <f t="shared" si="93"/>
        <v>229</v>
      </c>
      <c r="C234" s="126"/>
      <c r="D234" s="127"/>
      <c r="E234" s="166"/>
      <c r="F234" s="286" t="s">
        <v>217</v>
      </c>
      <c r="G234" s="201" t="s">
        <v>372</v>
      </c>
      <c r="H234" s="492">
        <f>4770-660-1475</f>
        <v>2635</v>
      </c>
      <c r="I234" s="492">
        <v>2589</v>
      </c>
      <c r="J234" s="995">
        <f t="shared" si="84"/>
        <v>98.254269449715366</v>
      </c>
      <c r="K234" s="338"/>
      <c r="L234" s="574"/>
      <c r="M234" s="574"/>
      <c r="N234" s="1037"/>
      <c r="O234" s="338"/>
      <c r="P234" s="575">
        <f t="shared" si="91"/>
        <v>2635</v>
      </c>
      <c r="Q234" s="575">
        <f t="shared" si="80"/>
        <v>2589</v>
      </c>
      <c r="R234" s="1001">
        <f t="shared" si="85"/>
        <v>98.254269449715366</v>
      </c>
    </row>
    <row r="235" spans="2:18" x14ac:dyDescent="0.2">
      <c r="B235" s="172">
        <f t="shared" si="93"/>
        <v>230</v>
      </c>
      <c r="C235" s="126"/>
      <c r="D235" s="127"/>
      <c r="E235" s="166"/>
      <c r="F235" s="452"/>
      <c r="G235" s="201"/>
      <c r="H235" s="492"/>
      <c r="I235" s="492"/>
      <c r="J235" s="995"/>
      <c r="K235" s="338"/>
      <c r="L235" s="441"/>
      <c r="M235" s="441"/>
      <c r="N235" s="1036"/>
      <c r="O235" s="338"/>
      <c r="P235" s="167"/>
      <c r="Q235" s="167"/>
      <c r="R235" s="982"/>
    </row>
    <row r="236" spans="2:18" x14ac:dyDescent="0.2">
      <c r="B236" s="172">
        <f t="shared" si="93"/>
        <v>231</v>
      </c>
      <c r="C236" s="126"/>
      <c r="D236" s="127"/>
      <c r="E236" s="166" t="s">
        <v>675</v>
      </c>
      <c r="F236" s="143" t="s">
        <v>217</v>
      </c>
      <c r="G236" s="201" t="s">
        <v>911</v>
      </c>
      <c r="H236" s="492">
        <v>0</v>
      </c>
      <c r="I236" s="492">
        <v>1198</v>
      </c>
      <c r="J236" s="995">
        <v>0</v>
      </c>
      <c r="K236" s="338"/>
      <c r="L236" s="574"/>
      <c r="M236" s="574"/>
      <c r="N236" s="1037"/>
      <c r="O236" s="338"/>
      <c r="P236" s="575">
        <f t="shared" ref="P236" si="94">H236+L236</f>
        <v>0</v>
      </c>
      <c r="Q236" s="575">
        <f t="shared" ref="Q236" si="95">I236+M236</f>
        <v>1198</v>
      </c>
      <c r="R236" s="1001">
        <v>0</v>
      </c>
    </row>
    <row r="237" spans="2:18" ht="15" x14ac:dyDescent="0.25">
      <c r="B237" s="172">
        <f t="shared" si="93"/>
        <v>232</v>
      </c>
      <c r="C237" s="126"/>
      <c r="D237" s="263" t="s">
        <v>7</v>
      </c>
      <c r="E237" s="147" t="s">
        <v>430</v>
      </c>
      <c r="F237" s="147" t="s">
        <v>369</v>
      </c>
      <c r="G237" s="238"/>
      <c r="H237" s="427">
        <f>H238+H250</f>
        <v>979410</v>
      </c>
      <c r="I237" s="427">
        <f>I238+I250+I265</f>
        <v>976565</v>
      </c>
      <c r="J237" s="965">
        <f t="shared" si="84"/>
        <v>99.709518996130313</v>
      </c>
      <c r="K237" s="128"/>
      <c r="L237" s="432">
        <f>L238+L250</f>
        <v>95216</v>
      </c>
      <c r="M237" s="432">
        <f t="shared" ref="M237" si="96">M238+M250</f>
        <v>93714</v>
      </c>
      <c r="N237" s="1035">
        <f t="shared" ref="N237:N263" si="97">M237/L237*100</f>
        <v>98.422534027894471</v>
      </c>
      <c r="O237" s="128"/>
      <c r="P237" s="331">
        <f t="shared" si="91"/>
        <v>1074626</v>
      </c>
      <c r="Q237" s="331">
        <f t="shared" si="80"/>
        <v>1070279</v>
      </c>
      <c r="R237" s="982">
        <f t="shared" si="85"/>
        <v>99.595487174142448</v>
      </c>
    </row>
    <row r="238" spans="2:18" ht="14.25" x14ac:dyDescent="0.2">
      <c r="B238" s="172">
        <f t="shared" si="93"/>
        <v>233</v>
      </c>
      <c r="C238" s="74"/>
      <c r="D238" s="558"/>
      <c r="E238" s="565" t="s">
        <v>429</v>
      </c>
      <c r="F238" s="562" t="s">
        <v>687</v>
      </c>
      <c r="G238" s="561"/>
      <c r="H238" s="563">
        <f>H239+H240+H241+H248+H247</f>
        <v>390213</v>
      </c>
      <c r="I238" s="563">
        <f>I239+I240+I241+I248+I247</f>
        <v>390045</v>
      </c>
      <c r="J238" s="995">
        <f t="shared" si="84"/>
        <v>99.956946590708156</v>
      </c>
      <c r="K238" s="334"/>
      <c r="L238" s="694">
        <f>L249</f>
        <v>2500</v>
      </c>
      <c r="M238" s="694">
        <f t="shared" ref="M238" si="98">M249</f>
        <v>2458</v>
      </c>
      <c r="N238" s="1040">
        <f t="shared" si="97"/>
        <v>98.32</v>
      </c>
      <c r="O238" s="334"/>
      <c r="P238" s="564">
        <f t="shared" si="91"/>
        <v>392713</v>
      </c>
      <c r="Q238" s="564">
        <f t="shared" si="80"/>
        <v>392503</v>
      </c>
      <c r="R238" s="1001">
        <f t="shared" si="85"/>
        <v>99.94652583438797</v>
      </c>
    </row>
    <row r="239" spans="2:18" ht="12" customHeight="1" x14ac:dyDescent="0.2">
      <c r="B239" s="172">
        <f t="shared" si="93"/>
        <v>234</v>
      </c>
      <c r="C239" s="126"/>
      <c r="D239" s="127"/>
      <c r="E239" s="127"/>
      <c r="F239" s="143" t="s">
        <v>211</v>
      </c>
      <c r="G239" s="201" t="s">
        <v>506</v>
      </c>
      <c r="H239" s="573">
        <f>203353+21682+9303+3323</f>
        <v>237661</v>
      </c>
      <c r="I239" s="573">
        <v>237661</v>
      </c>
      <c r="J239" s="965">
        <f t="shared" si="84"/>
        <v>100</v>
      </c>
      <c r="K239" s="338"/>
      <c r="L239" s="441"/>
      <c r="M239" s="441"/>
      <c r="N239" s="1036"/>
      <c r="O239" s="338"/>
      <c r="P239" s="244">
        <f t="shared" si="91"/>
        <v>237661</v>
      </c>
      <c r="Q239" s="244">
        <f t="shared" si="80"/>
        <v>237661</v>
      </c>
      <c r="R239" s="982">
        <f t="shared" si="85"/>
        <v>100</v>
      </c>
    </row>
    <row r="240" spans="2:18" ht="12" customHeight="1" x14ac:dyDescent="0.2">
      <c r="B240" s="172">
        <f t="shared" ref="B240:B290" si="99">B239+1</f>
        <v>235</v>
      </c>
      <c r="C240" s="126"/>
      <c r="D240" s="127"/>
      <c r="E240" s="127"/>
      <c r="F240" s="143" t="s">
        <v>212</v>
      </c>
      <c r="G240" s="201" t="s">
        <v>259</v>
      </c>
      <c r="H240" s="573">
        <f>71580+7632+3033+1336</f>
        <v>83581</v>
      </c>
      <c r="I240" s="573">
        <v>83581</v>
      </c>
      <c r="J240" s="965">
        <f t="shared" si="84"/>
        <v>100</v>
      </c>
      <c r="K240" s="338"/>
      <c r="L240" s="441"/>
      <c r="M240" s="441"/>
      <c r="N240" s="1036"/>
      <c r="O240" s="338"/>
      <c r="P240" s="244">
        <f t="shared" si="91"/>
        <v>83581</v>
      </c>
      <c r="Q240" s="244">
        <f t="shared" si="80"/>
        <v>83581</v>
      </c>
      <c r="R240" s="982">
        <f t="shared" si="85"/>
        <v>100</v>
      </c>
    </row>
    <row r="241" spans="1:18" ht="12" customHeight="1" x14ac:dyDescent="0.2">
      <c r="B241" s="172">
        <f t="shared" si="99"/>
        <v>236</v>
      </c>
      <c r="C241" s="126"/>
      <c r="D241" s="127"/>
      <c r="E241" s="127"/>
      <c r="F241" s="143" t="s">
        <v>218</v>
      </c>
      <c r="G241" s="201" t="s">
        <v>341</v>
      </c>
      <c r="H241" s="573">
        <f>SUM(H242:H246)</f>
        <v>67848</v>
      </c>
      <c r="I241" s="573">
        <f t="shared" ref="I241" si="100">SUM(I242:I246)</f>
        <v>67848</v>
      </c>
      <c r="J241" s="965">
        <f t="shared" si="84"/>
        <v>100</v>
      </c>
      <c r="K241" s="338"/>
      <c r="L241" s="441"/>
      <c r="M241" s="441"/>
      <c r="N241" s="1036"/>
      <c r="O241" s="338"/>
      <c r="P241" s="244">
        <f t="shared" si="91"/>
        <v>67848</v>
      </c>
      <c r="Q241" s="244">
        <f t="shared" si="80"/>
        <v>67848</v>
      </c>
      <c r="R241" s="982">
        <f t="shared" si="85"/>
        <v>100</v>
      </c>
    </row>
    <row r="242" spans="1:18" ht="12" customHeight="1" x14ac:dyDescent="0.2">
      <c r="B242" s="172">
        <f t="shared" si="99"/>
        <v>237</v>
      </c>
      <c r="C242" s="126"/>
      <c r="D242" s="127"/>
      <c r="E242" s="127"/>
      <c r="F242" s="127" t="s">
        <v>213</v>
      </c>
      <c r="G242" s="193" t="s">
        <v>255</v>
      </c>
      <c r="H242" s="399">
        <f>113-83</f>
        <v>30</v>
      </c>
      <c r="I242" s="399">
        <v>30</v>
      </c>
      <c r="J242" s="966">
        <f t="shared" si="84"/>
        <v>100</v>
      </c>
      <c r="K242" s="338"/>
      <c r="L242" s="441"/>
      <c r="M242" s="441"/>
      <c r="N242" s="1036"/>
      <c r="O242" s="338"/>
      <c r="P242" s="168">
        <f t="shared" si="91"/>
        <v>30</v>
      </c>
      <c r="Q242" s="168">
        <f t="shared" si="80"/>
        <v>30</v>
      </c>
      <c r="R242" s="983">
        <f t="shared" si="85"/>
        <v>100</v>
      </c>
    </row>
    <row r="243" spans="1:18" ht="12" customHeight="1" x14ac:dyDescent="0.2">
      <c r="B243" s="172">
        <f t="shared" si="99"/>
        <v>238</v>
      </c>
      <c r="C243" s="126"/>
      <c r="D243" s="127"/>
      <c r="E243" s="127"/>
      <c r="F243" s="127" t="s">
        <v>199</v>
      </c>
      <c r="G243" s="193" t="s">
        <v>319</v>
      </c>
      <c r="H243" s="399">
        <f>24300-2972</f>
        <v>21328</v>
      </c>
      <c r="I243" s="399">
        <v>21328</v>
      </c>
      <c r="J243" s="966">
        <f t="shared" si="84"/>
        <v>100</v>
      </c>
      <c r="K243" s="338"/>
      <c r="L243" s="441"/>
      <c r="M243" s="441"/>
      <c r="N243" s="1036"/>
      <c r="O243" s="338"/>
      <c r="P243" s="168">
        <f t="shared" si="91"/>
        <v>21328</v>
      </c>
      <c r="Q243" s="168">
        <f t="shared" si="80"/>
        <v>21328</v>
      </c>
      <c r="R243" s="983">
        <f t="shared" si="85"/>
        <v>100</v>
      </c>
    </row>
    <row r="244" spans="1:18" ht="12" customHeight="1" x14ac:dyDescent="0.2">
      <c r="B244" s="172">
        <f t="shared" si="99"/>
        <v>239</v>
      </c>
      <c r="C244" s="126"/>
      <c r="D244" s="127"/>
      <c r="E244" s="127"/>
      <c r="F244" s="127" t="s">
        <v>200</v>
      </c>
      <c r="G244" s="193" t="s">
        <v>247</v>
      </c>
      <c r="H244" s="399">
        <f>11792+10236-4558</f>
        <v>17470</v>
      </c>
      <c r="I244" s="399">
        <v>17470</v>
      </c>
      <c r="J244" s="966">
        <f t="shared" si="84"/>
        <v>100</v>
      </c>
      <c r="K244" s="338"/>
      <c r="L244" s="441"/>
      <c r="M244" s="441"/>
      <c r="N244" s="1036"/>
      <c r="O244" s="338"/>
      <c r="P244" s="168">
        <f t="shared" si="91"/>
        <v>17470</v>
      </c>
      <c r="Q244" s="168">
        <f t="shared" si="80"/>
        <v>17470</v>
      </c>
      <c r="R244" s="983">
        <f t="shared" si="85"/>
        <v>100</v>
      </c>
    </row>
    <row r="245" spans="1:18" ht="12" customHeight="1" x14ac:dyDescent="0.2">
      <c r="B245" s="172">
        <f t="shared" si="99"/>
        <v>240</v>
      </c>
      <c r="C245" s="126"/>
      <c r="D245" s="127"/>
      <c r="E245" s="127"/>
      <c r="F245" s="127" t="s">
        <v>214</v>
      </c>
      <c r="G245" s="193" t="s">
        <v>261</v>
      </c>
      <c r="H245" s="399">
        <f>10350+5018</f>
        <v>15368</v>
      </c>
      <c r="I245" s="399">
        <v>15368</v>
      </c>
      <c r="J245" s="966">
        <f t="shared" si="84"/>
        <v>100</v>
      </c>
      <c r="K245" s="338"/>
      <c r="L245" s="441"/>
      <c r="M245" s="441"/>
      <c r="N245" s="1036"/>
      <c r="O245" s="338"/>
      <c r="P245" s="168">
        <f t="shared" si="91"/>
        <v>15368</v>
      </c>
      <c r="Q245" s="168">
        <f t="shared" si="80"/>
        <v>15368</v>
      </c>
      <c r="R245" s="983">
        <f t="shared" si="85"/>
        <v>100</v>
      </c>
    </row>
    <row r="246" spans="1:18" s="115" customFormat="1" ht="12" customHeight="1" x14ac:dyDescent="0.2">
      <c r="A246" s="243"/>
      <c r="B246" s="172">
        <f t="shared" si="99"/>
        <v>241</v>
      </c>
      <c r="C246" s="126"/>
      <c r="D246" s="127"/>
      <c r="E246" s="127"/>
      <c r="F246" s="127" t="s">
        <v>216</v>
      </c>
      <c r="G246" s="193" t="s">
        <v>248</v>
      </c>
      <c r="H246" s="399">
        <f>14130+600-1078</f>
        <v>13652</v>
      </c>
      <c r="I246" s="399">
        <v>13652</v>
      </c>
      <c r="J246" s="966">
        <f t="shared" si="84"/>
        <v>100</v>
      </c>
      <c r="K246" s="338"/>
      <c r="L246" s="441"/>
      <c r="M246" s="441"/>
      <c r="N246" s="1036"/>
      <c r="O246" s="338"/>
      <c r="P246" s="168">
        <f t="shared" si="91"/>
        <v>13652</v>
      </c>
      <c r="Q246" s="168">
        <f t="shared" si="80"/>
        <v>13652</v>
      </c>
      <c r="R246" s="983">
        <f t="shared" si="85"/>
        <v>100</v>
      </c>
    </row>
    <row r="247" spans="1:18" ht="12" customHeight="1" x14ac:dyDescent="0.2">
      <c r="B247" s="172">
        <f t="shared" si="99"/>
        <v>242</v>
      </c>
      <c r="C247" s="126"/>
      <c r="D247" s="127"/>
      <c r="E247" s="127"/>
      <c r="F247" s="143" t="s">
        <v>217</v>
      </c>
      <c r="G247" s="201" t="s">
        <v>507</v>
      </c>
      <c r="H247" s="573">
        <f>225-30</f>
        <v>195</v>
      </c>
      <c r="I247" s="573">
        <v>219</v>
      </c>
      <c r="J247" s="965">
        <f t="shared" si="84"/>
        <v>112.30769230769231</v>
      </c>
      <c r="K247" s="336"/>
      <c r="L247" s="400"/>
      <c r="M247" s="400"/>
      <c r="N247" s="1035"/>
      <c r="O247" s="336"/>
      <c r="P247" s="167">
        <f>H247+L247</f>
        <v>195</v>
      </c>
      <c r="Q247" s="167">
        <f t="shared" si="80"/>
        <v>219</v>
      </c>
      <c r="R247" s="982">
        <f t="shared" si="85"/>
        <v>112.30769230769231</v>
      </c>
    </row>
    <row r="248" spans="1:18" ht="12" customHeight="1" x14ac:dyDescent="0.2">
      <c r="B248" s="172">
        <f t="shared" si="99"/>
        <v>243</v>
      </c>
      <c r="C248" s="126"/>
      <c r="D248" s="127"/>
      <c r="E248" s="127"/>
      <c r="F248" s="143" t="s">
        <v>217</v>
      </c>
      <c r="G248" s="201" t="s">
        <v>372</v>
      </c>
      <c r="H248" s="573">
        <f>428+500</f>
        <v>928</v>
      </c>
      <c r="I248" s="573">
        <v>736</v>
      </c>
      <c r="J248" s="965">
        <f t="shared" si="84"/>
        <v>79.310344827586206</v>
      </c>
      <c r="K248" s="336"/>
      <c r="L248" s="400"/>
      <c r="M248" s="400"/>
      <c r="N248" s="1035"/>
      <c r="O248" s="336"/>
      <c r="P248" s="167">
        <f>H248+L248</f>
        <v>928</v>
      </c>
      <c r="Q248" s="167">
        <f t="shared" si="80"/>
        <v>736</v>
      </c>
      <c r="R248" s="982">
        <f t="shared" si="85"/>
        <v>79.310344827586206</v>
      </c>
    </row>
    <row r="249" spans="1:18" ht="12" customHeight="1" x14ac:dyDescent="0.2">
      <c r="B249" s="172">
        <f t="shared" si="99"/>
        <v>244</v>
      </c>
      <c r="C249" s="126"/>
      <c r="D249" s="127"/>
      <c r="E249" s="170"/>
      <c r="F249" s="143" t="s">
        <v>607</v>
      </c>
      <c r="G249" s="201" t="s">
        <v>654</v>
      </c>
      <c r="H249" s="573"/>
      <c r="I249" s="573"/>
      <c r="J249" s="965"/>
      <c r="K249" s="336"/>
      <c r="L249" s="400">
        <v>2500</v>
      </c>
      <c r="M249" s="400">
        <v>2458</v>
      </c>
      <c r="N249" s="1035">
        <f t="shared" si="97"/>
        <v>98.32</v>
      </c>
      <c r="O249" s="336"/>
      <c r="P249" s="167">
        <f>H249+L249</f>
        <v>2500</v>
      </c>
      <c r="Q249" s="167">
        <f t="shared" si="80"/>
        <v>2458</v>
      </c>
      <c r="R249" s="982">
        <f t="shared" si="85"/>
        <v>98.32</v>
      </c>
    </row>
    <row r="250" spans="1:18" x14ac:dyDescent="0.2">
      <c r="B250" s="172">
        <f t="shared" si="99"/>
        <v>245</v>
      </c>
      <c r="C250" s="126"/>
      <c r="D250" s="127"/>
      <c r="E250" s="565" t="s">
        <v>685</v>
      </c>
      <c r="F250" s="562" t="s">
        <v>686</v>
      </c>
      <c r="G250" s="558"/>
      <c r="H250" s="566">
        <f>H251+H252+H253+H261+H260</f>
        <v>589197</v>
      </c>
      <c r="I250" s="566">
        <f>I251+I252+I253+I261+I260</f>
        <v>586030</v>
      </c>
      <c r="J250" s="1028">
        <f t="shared" si="84"/>
        <v>99.462488777098329</v>
      </c>
      <c r="K250" s="338"/>
      <c r="L250" s="694">
        <f>L262+L263</f>
        <v>92716</v>
      </c>
      <c r="M250" s="694">
        <f t="shared" ref="M250" si="101">M262+M263</f>
        <v>91256</v>
      </c>
      <c r="N250" s="1040">
        <f t="shared" si="97"/>
        <v>98.425298761810268</v>
      </c>
      <c r="O250" s="338"/>
      <c r="P250" s="564">
        <f t="shared" ref="P250:P275" si="102">H250+L250</f>
        <v>681913</v>
      </c>
      <c r="Q250" s="564">
        <f t="shared" si="80"/>
        <v>677286</v>
      </c>
      <c r="R250" s="1001">
        <f t="shared" si="85"/>
        <v>99.321467694559274</v>
      </c>
    </row>
    <row r="251" spans="1:18" x14ac:dyDescent="0.2">
      <c r="B251" s="172">
        <f t="shared" si="99"/>
        <v>246</v>
      </c>
      <c r="C251" s="126"/>
      <c r="D251" s="127"/>
      <c r="E251" s="166"/>
      <c r="F251" s="143" t="s">
        <v>211</v>
      </c>
      <c r="G251" s="201" t="s">
        <v>506</v>
      </c>
      <c r="H251" s="492">
        <f>332387+26049+6832+3324</f>
        <v>368592</v>
      </c>
      <c r="I251" s="492">
        <v>368592</v>
      </c>
      <c r="J251" s="995">
        <f t="shared" si="84"/>
        <v>100</v>
      </c>
      <c r="K251" s="338"/>
      <c r="L251" s="574"/>
      <c r="M251" s="574"/>
      <c r="N251" s="1037"/>
      <c r="O251" s="338"/>
      <c r="P251" s="575">
        <f t="shared" si="102"/>
        <v>368592</v>
      </c>
      <c r="Q251" s="575">
        <f t="shared" si="80"/>
        <v>368592</v>
      </c>
      <c r="R251" s="1001">
        <f t="shared" si="85"/>
        <v>100</v>
      </c>
    </row>
    <row r="252" spans="1:18" x14ac:dyDescent="0.2">
      <c r="B252" s="172">
        <f t="shared" si="99"/>
        <v>247</v>
      </c>
      <c r="C252" s="126"/>
      <c r="D252" s="127"/>
      <c r="E252" s="166"/>
      <c r="F252" s="143" t="s">
        <v>212</v>
      </c>
      <c r="G252" s="201" t="s">
        <v>259</v>
      </c>
      <c r="H252" s="492">
        <f>117000+9170+2405+1338</f>
        <v>129913</v>
      </c>
      <c r="I252" s="492">
        <v>129913</v>
      </c>
      <c r="J252" s="995">
        <f t="shared" si="84"/>
        <v>100</v>
      </c>
      <c r="K252" s="338"/>
      <c r="L252" s="574"/>
      <c r="M252" s="574"/>
      <c r="N252" s="1037"/>
      <c r="O252" s="338"/>
      <c r="P252" s="575">
        <f t="shared" si="102"/>
        <v>129913</v>
      </c>
      <c r="Q252" s="575">
        <f t="shared" si="80"/>
        <v>129913</v>
      </c>
      <c r="R252" s="1001">
        <f t="shared" si="85"/>
        <v>100</v>
      </c>
    </row>
    <row r="253" spans="1:18" x14ac:dyDescent="0.2">
      <c r="B253" s="172">
        <f t="shared" si="99"/>
        <v>248</v>
      </c>
      <c r="C253" s="126"/>
      <c r="D253" s="127"/>
      <c r="E253" s="166"/>
      <c r="F253" s="143" t="s">
        <v>218</v>
      </c>
      <c r="G253" s="201" t="s">
        <v>341</v>
      </c>
      <c r="H253" s="573">
        <f>SUM(H254:H259)</f>
        <v>85202</v>
      </c>
      <c r="I253" s="573">
        <f>SUM(I254:I259)</f>
        <v>82087</v>
      </c>
      <c r="J253" s="965">
        <f t="shared" si="84"/>
        <v>96.343982535621237</v>
      </c>
      <c r="K253" s="338"/>
      <c r="L253" s="574"/>
      <c r="M253" s="574"/>
      <c r="N253" s="1037"/>
      <c r="O253" s="338"/>
      <c r="P253" s="575">
        <f t="shared" si="102"/>
        <v>85202</v>
      </c>
      <c r="Q253" s="575">
        <f t="shared" si="80"/>
        <v>82087</v>
      </c>
      <c r="R253" s="1001">
        <f t="shared" si="85"/>
        <v>96.343982535621237</v>
      </c>
    </row>
    <row r="254" spans="1:18" x14ac:dyDescent="0.2">
      <c r="B254" s="172">
        <f t="shared" si="99"/>
        <v>249</v>
      </c>
      <c r="C254" s="126"/>
      <c r="D254" s="127"/>
      <c r="E254" s="166"/>
      <c r="F254" s="127" t="s">
        <v>213</v>
      </c>
      <c r="G254" s="193" t="s">
        <v>255</v>
      </c>
      <c r="H254" s="436">
        <f>137-120</f>
        <v>17</v>
      </c>
      <c r="I254" s="436">
        <v>16</v>
      </c>
      <c r="J254" s="978">
        <f t="shared" si="84"/>
        <v>94.117647058823522</v>
      </c>
      <c r="K254" s="338"/>
      <c r="L254" s="574"/>
      <c r="M254" s="574"/>
      <c r="N254" s="1037"/>
      <c r="O254" s="338"/>
      <c r="P254" s="169">
        <f t="shared" si="102"/>
        <v>17</v>
      </c>
      <c r="Q254" s="169">
        <f t="shared" si="80"/>
        <v>16</v>
      </c>
      <c r="R254" s="986">
        <f t="shared" si="85"/>
        <v>94.117647058823522</v>
      </c>
    </row>
    <row r="255" spans="1:18" x14ac:dyDescent="0.2">
      <c r="B255" s="172">
        <f t="shared" si="99"/>
        <v>250</v>
      </c>
      <c r="C255" s="126"/>
      <c r="D255" s="127"/>
      <c r="E255" s="166"/>
      <c r="F255" s="127" t="s">
        <v>199</v>
      </c>
      <c r="G255" s="193" t="s">
        <v>319</v>
      </c>
      <c r="H255" s="436">
        <f>31700-2615</f>
        <v>29085</v>
      </c>
      <c r="I255" s="436">
        <f>29085-2594</f>
        <v>26491</v>
      </c>
      <c r="J255" s="978">
        <f t="shared" si="84"/>
        <v>91.0813133917827</v>
      </c>
      <c r="K255" s="338"/>
      <c r="L255" s="574"/>
      <c r="M255" s="574"/>
      <c r="N255" s="1037"/>
      <c r="O255" s="338"/>
      <c r="P255" s="169">
        <f t="shared" si="102"/>
        <v>29085</v>
      </c>
      <c r="Q255" s="169">
        <f t="shared" si="80"/>
        <v>26491</v>
      </c>
      <c r="R255" s="986">
        <f t="shared" si="85"/>
        <v>91.0813133917827</v>
      </c>
    </row>
    <row r="256" spans="1:18" x14ac:dyDescent="0.2">
      <c r="B256" s="172">
        <f t="shared" si="99"/>
        <v>251</v>
      </c>
      <c r="C256" s="126"/>
      <c r="D256" s="127"/>
      <c r="E256" s="166"/>
      <c r="F256" s="127" t="s">
        <v>200</v>
      </c>
      <c r="G256" s="193" t="s">
        <v>247</v>
      </c>
      <c r="H256" s="436">
        <f>14413+12266-10456+3409</f>
        <v>19632</v>
      </c>
      <c r="I256" s="436">
        <v>19112</v>
      </c>
      <c r="J256" s="978">
        <f t="shared" si="84"/>
        <v>97.351263243683789</v>
      </c>
      <c r="K256" s="338"/>
      <c r="L256" s="574"/>
      <c r="M256" s="574"/>
      <c r="N256" s="1037"/>
      <c r="O256" s="338"/>
      <c r="P256" s="169">
        <f t="shared" si="102"/>
        <v>19632</v>
      </c>
      <c r="Q256" s="169">
        <f t="shared" si="80"/>
        <v>19112</v>
      </c>
      <c r="R256" s="986">
        <f t="shared" si="85"/>
        <v>97.351263243683789</v>
      </c>
    </row>
    <row r="257" spans="2:18" x14ac:dyDescent="0.2">
      <c r="B257" s="172">
        <f t="shared" si="99"/>
        <v>252</v>
      </c>
      <c r="C257" s="126"/>
      <c r="D257" s="127"/>
      <c r="E257" s="166"/>
      <c r="F257" s="127" t="s">
        <v>214</v>
      </c>
      <c r="G257" s="193" t="s">
        <v>261</v>
      </c>
      <c r="H257" s="436">
        <f>12650+6174</f>
        <v>18824</v>
      </c>
      <c r="I257" s="436">
        <v>18824</v>
      </c>
      <c r="J257" s="978">
        <f t="shared" si="84"/>
        <v>100</v>
      </c>
      <c r="K257" s="338"/>
      <c r="L257" s="574"/>
      <c r="M257" s="574"/>
      <c r="N257" s="1037"/>
      <c r="O257" s="338"/>
      <c r="P257" s="169">
        <f t="shared" si="102"/>
        <v>18824</v>
      </c>
      <c r="Q257" s="169">
        <f t="shared" si="80"/>
        <v>18824</v>
      </c>
      <c r="R257" s="986">
        <f t="shared" si="85"/>
        <v>100</v>
      </c>
    </row>
    <row r="258" spans="2:18" x14ac:dyDescent="0.2">
      <c r="B258" s="172">
        <f t="shared" si="99"/>
        <v>253</v>
      </c>
      <c r="C258" s="126"/>
      <c r="D258" s="127"/>
      <c r="E258" s="166"/>
      <c r="F258" s="127" t="s">
        <v>216</v>
      </c>
      <c r="G258" s="193" t="s">
        <v>248</v>
      </c>
      <c r="H258" s="436">
        <f>17270-2220</f>
        <v>15050</v>
      </c>
      <c r="I258" s="436">
        <v>15050</v>
      </c>
      <c r="J258" s="978">
        <f t="shared" si="84"/>
        <v>100</v>
      </c>
      <c r="K258" s="338"/>
      <c r="L258" s="574"/>
      <c r="M258" s="574"/>
      <c r="N258" s="1037"/>
      <c r="O258" s="338"/>
      <c r="P258" s="169">
        <f t="shared" si="102"/>
        <v>15050</v>
      </c>
      <c r="Q258" s="169">
        <f t="shared" ref="Q258:Q310" si="103">I258+M258</f>
        <v>15050</v>
      </c>
      <c r="R258" s="986">
        <f t="shared" si="85"/>
        <v>100</v>
      </c>
    </row>
    <row r="259" spans="2:18" x14ac:dyDescent="0.2">
      <c r="B259" s="172">
        <f t="shared" si="99"/>
        <v>254</v>
      </c>
      <c r="C259" s="126"/>
      <c r="D259" s="127"/>
      <c r="E259" s="166"/>
      <c r="F259" s="127" t="s">
        <v>218</v>
      </c>
      <c r="G259" s="193" t="s">
        <v>789</v>
      </c>
      <c r="H259" s="436">
        <v>2594</v>
      </c>
      <c r="I259" s="436">
        <v>2594</v>
      </c>
      <c r="J259" s="978">
        <f t="shared" si="84"/>
        <v>100</v>
      </c>
      <c r="K259" s="338"/>
      <c r="L259" s="574"/>
      <c r="M259" s="574"/>
      <c r="N259" s="1037"/>
      <c r="O259" s="338"/>
      <c r="P259" s="169">
        <f t="shared" si="102"/>
        <v>2594</v>
      </c>
      <c r="Q259" s="169">
        <f t="shared" si="103"/>
        <v>2594</v>
      </c>
      <c r="R259" s="986">
        <f t="shared" si="85"/>
        <v>100</v>
      </c>
    </row>
    <row r="260" spans="2:18" x14ac:dyDescent="0.2">
      <c r="B260" s="172">
        <f t="shared" si="99"/>
        <v>255</v>
      </c>
      <c r="C260" s="126"/>
      <c r="D260" s="127"/>
      <c r="E260" s="166"/>
      <c r="F260" s="286" t="s">
        <v>217</v>
      </c>
      <c r="G260" s="201" t="s">
        <v>507</v>
      </c>
      <c r="H260" s="492">
        <v>275</v>
      </c>
      <c r="I260" s="492">
        <v>223</v>
      </c>
      <c r="J260" s="995">
        <f t="shared" si="84"/>
        <v>81.090909090909093</v>
      </c>
      <c r="K260" s="338"/>
      <c r="L260" s="574"/>
      <c r="M260" s="574"/>
      <c r="N260" s="1037"/>
      <c r="O260" s="338"/>
      <c r="P260" s="169">
        <f t="shared" si="102"/>
        <v>275</v>
      </c>
      <c r="Q260" s="169">
        <f t="shared" si="103"/>
        <v>223</v>
      </c>
      <c r="R260" s="986">
        <f t="shared" si="85"/>
        <v>81.090909090909093</v>
      </c>
    </row>
    <row r="261" spans="2:18" x14ac:dyDescent="0.2">
      <c r="B261" s="172">
        <f t="shared" si="99"/>
        <v>256</v>
      </c>
      <c r="C261" s="126"/>
      <c r="D261" s="127"/>
      <c r="E261" s="166"/>
      <c r="F261" s="286" t="s">
        <v>217</v>
      </c>
      <c r="G261" s="201" t="s">
        <v>372</v>
      </c>
      <c r="H261" s="492">
        <f>522+4693</f>
        <v>5215</v>
      </c>
      <c r="I261" s="492">
        <f>5438-223</f>
        <v>5215</v>
      </c>
      <c r="J261" s="995">
        <f t="shared" si="84"/>
        <v>100</v>
      </c>
      <c r="K261" s="338"/>
      <c r="L261" s="574"/>
      <c r="M261" s="574"/>
      <c r="N261" s="1037"/>
      <c r="O261" s="338"/>
      <c r="P261" s="575">
        <f t="shared" si="102"/>
        <v>5215</v>
      </c>
      <c r="Q261" s="575">
        <f t="shared" si="103"/>
        <v>5215</v>
      </c>
      <c r="R261" s="1001">
        <f t="shared" si="85"/>
        <v>100</v>
      </c>
    </row>
    <row r="262" spans="2:18" x14ac:dyDescent="0.2">
      <c r="B262" s="172">
        <f t="shared" si="99"/>
        <v>257</v>
      </c>
      <c r="C262" s="126"/>
      <c r="D262" s="127"/>
      <c r="E262" s="166"/>
      <c r="F262" s="286" t="s">
        <v>433</v>
      </c>
      <c r="G262" s="201" t="s">
        <v>756</v>
      </c>
      <c r="H262" s="492"/>
      <c r="I262" s="492"/>
      <c r="J262" s="995"/>
      <c r="K262" s="338"/>
      <c r="L262" s="439">
        <f>2680+36</f>
        <v>2716</v>
      </c>
      <c r="M262" s="439">
        <f>36+2680</f>
        <v>2716</v>
      </c>
      <c r="N262" s="1040">
        <f t="shared" si="97"/>
        <v>100</v>
      </c>
      <c r="O262" s="338"/>
      <c r="P262" s="575">
        <f t="shared" ref="P262:P263" si="104">H262+L262</f>
        <v>2716</v>
      </c>
      <c r="Q262" s="575">
        <f t="shared" si="103"/>
        <v>2716</v>
      </c>
      <c r="R262" s="1001">
        <f t="shared" si="85"/>
        <v>100</v>
      </c>
    </row>
    <row r="263" spans="2:18" x14ac:dyDescent="0.2">
      <c r="B263" s="172">
        <f t="shared" si="99"/>
        <v>258</v>
      </c>
      <c r="C263" s="126"/>
      <c r="D263" s="127"/>
      <c r="E263" s="166"/>
      <c r="F263" s="286" t="s">
        <v>322</v>
      </c>
      <c r="G263" s="201" t="s">
        <v>840</v>
      </c>
      <c r="H263" s="492"/>
      <c r="I263" s="492"/>
      <c r="J263" s="995"/>
      <c r="K263" s="338"/>
      <c r="L263" s="400">
        <f>70000+20000</f>
        <v>90000</v>
      </c>
      <c r="M263" s="400">
        <v>88540</v>
      </c>
      <c r="N263" s="1035">
        <f t="shared" si="97"/>
        <v>98.37777777777778</v>
      </c>
      <c r="O263" s="338"/>
      <c r="P263" s="575">
        <f t="shared" si="104"/>
        <v>90000</v>
      </c>
      <c r="Q263" s="575">
        <f t="shared" si="103"/>
        <v>88540</v>
      </c>
      <c r="R263" s="1001">
        <f t="shared" si="85"/>
        <v>98.37777777777778</v>
      </c>
    </row>
    <row r="264" spans="2:18" x14ac:dyDescent="0.2">
      <c r="B264" s="172">
        <f t="shared" si="99"/>
        <v>259</v>
      </c>
      <c r="C264" s="126"/>
      <c r="D264" s="127"/>
      <c r="E264" s="166"/>
      <c r="F264" s="286"/>
      <c r="G264" s="201"/>
      <c r="H264" s="492"/>
      <c r="I264" s="492"/>
      <c r="J264" s="995"/>
      <c r="K264" s="338"/>
      <c r="L264" s="400"/>
      <c r="M264" s="400"/>
      <c r="N264" s="1035"/>
      <c r="O264" s="338"/>
      <c r="P264" s="167"/>
      <c r="Q264" s="167"/>
      <c r="R264" s="982"/>
    </row>
    <row r="265" spans="2:18" x14ac:dyDescent="0.2">
      <c r="B265" s="172">
        <f t="shared" si="99"/>
        <v>260</v>
      </c>
      <c r="C265" s="126"/>
      <c r="D265" s="127"/>
      <c r="E265" s="166" t="s">
        <v>675</v>
      </c>
      <c r="F265" s="143" t="s">
        <v>217</v>
      </c>
      <c r="G265" s="201" t="s">
        <v>911</v>
      </c>
      <c r="H265" s="492">
        <v>0</v>
      </c>
      <c r="I265" s="492">
        <v>490</v>
      </c>
      <c r="J265" s="995">
        <v>0</v>
      </c>
      <c r="K265" s="338"/>
      <c r="L265" s="574"/>
      <c r="M265" s="574"/>
      <c r="N265" s="1037"/>
      <c r="O265" s="338"/>
      <c r="P265" s="575">
        <f t="shared" ref="P265" si="105">H265+L265</f>
        <v>0</v>
      </c>
      <c r="Q265" s="575">
        <f t="shared" ref="Q265" si="106">I265+M265</f>
        <v>490</v>
      </c>
      <c r="R265" s="1001">
        <v>0</v>
      </c>
    </row>
    <row r="266" spans="2:18" ht="15" x14ac:dyDescent="0.25">
      <c r="B266" s="172">
        <f t="shared" si="99"/>
        <v>261</v>
      </c>
      <c r="C266" s="126"/>
      <c r="D266" s="263" t="s">
        <v>8</v>
      </c>
      <c r="E266" s="147" t="s">
        <v>430</v>
      </c>
      <c r="F266" s="147" t="s">
        <v>370</v>
      </c>
      <c r="G266" s="238"/>
      <c r="H266" s="427">
        <f>H267+H277</f>
        <v>968578</v>
      </c>
      <c r="I266" s="427">
        <f>I267+I277</f>
        <v>971234</v>
      </c>
      <c r="J266" s="965">
        <f t="shared" si="84"/>
        <v>100.27421642862011</v>
      </c>
      <c r="K266" s="128"/>
      <c r="L266" s="448"/>
      <c r="M266" s="448"/>
      <c r="N266" s="1036"/>
      <c r="O266" s="128"/>
      <c r="P266" s="331">
        <f t="shared" si="102"/>
        <v>968578</v>
      </c>
      <c r="Q266" s="331">
        <f t="shared" si="103"/>
        <v>971234</v>
      </c>
      <c r="R266" s="982">
        <f t="shared" si="85"/>
        <v>100.27421642862011</v>
      </c>
    </row>
    <row r="267" spans="2:18" ht="14.25" x14ac:dyDescent="0.2">
      <c r="B267" s="172">
        <f t="shared" si="99"/>
        <v>262</v>
      </c>
      <c r="C267" s="74"/>
      <c r="D267" s="558"/>
      <c r="E267" s="565" t="s">
        <v>429</v>
      </c>
      <c r="F267" s="562" t="s">
        <v>687</v>
      </c>
      <c r="G267" s="561"/>
      <c r="H267" s="563">
        <f>H268+H269+H270+H276</f>
        <v>428606</v>
      </c>
      <c r="I267" s="563">
        <f>I268+I269+I270+I276</f>
        <v>424192</v>
      </c>
      <c r="J267" s="995">
        <f t="shared" si="84"/>
        <v>98.970149741254204</v>
      </c>
      <c r="K267" s="334"/>
      <c r="L267" s="560"/>
      <c r="M267" s="560"/>
      <c r="N267" s="1037"/>
      <c r="O267" s="334"/>
      <c r="P267" s="564">
        <f t="shared" si="102"/>
        <v>428606</v>
      </c>
      <c r="Q267" s="564">
        <f t="shared" si="103"/>
        <v>424192</v>
      </c>
      <c r="R267" s="1001">
        <f t="shared" si="85"/>
        <v>98.970149741254204</v>
      </c>
    </row>
    <row r="268" spans="2:18" ht="12" customHeight="1" x14ac:dyDescent="0.2">
      <c r="B268" s="172">
        <f t="shared" si="99"/>
        <v>263</v>
      </c>
      <c r="C268" s="126"/>
      <c r="D268" s="127"/>
      <c r="E268" s="127"/>
      <c r="F268" s="143" t="s">
        <v>211</v>
      </c>
      <c r="G268" s="201" t="s">
        <v>506</v>
      </c>
      <c r="H268" s="573">
        <f>234360+12900+16840+3386</f>
        <v>267486</v>
      </c>
      <c r="I268" s="573">
        <v>264291</v>
      </c>
      <c r="J268" s="965">
        <f t="shared" si="84"/>
        <v>98.805544963100871</v>
      </c>
      <c r="K268" s="338"/>
      <c r="L268" s="441"/>
      <c r="M268" s="441"/>
      <c r="N268" s="1036"/>
      <c r="O268" s="338"/>
      <c r="P268" s="167">
        <f t="shared" si="102"/>
        <v>267486</v>
      </c>
      <c r="Q268" s="167">
        <f t="shared" si="103"/>
        <v>264291</v>
      </c>
      <c r="R268" s="982">
        <f t="shared" si="85"/>
        <v>98.805544963100871</v>
      </c>
    </row>
    <row r="269" spans="2:18" ht="12" customHeight="1" x14ac:dyDescent="0.2">
      <c r="B269" s="172">
        <f t="shared" si="99"/>
        <v>264</v>
      </c>
      <c r="C269" s="126"/>
      <c r="D269" s="127"/>
      <c r="E269" s="127"/>
      <c r="F269" s="143" t="s">
        <v>212</v>
      </c>
      <c r="G269" s="201" t="s">
        <v>259</v>
      </c>
      <c r="H269" s="573">
        <f>85990+5000+4855+1329</f>
        <v>97174</v>
      </c>
      <c r="I269" s="573">
        <v>98072</v>
      </c>
      <c r="J269" s="965">
        <f t="shared" si="84"/>
        <v>100.9241155041472</v>
      </c>
      <c r="K269" s="338"/>
      <c r="L269" s="441"/>
      <c r="M269" s="441"/>
      <c r="N269" s="1036"/>
      <c r="O269" s="338"/>
      <c r="P269" s="167">
        <f t="shared" si="102"/>
        <v>97174</v>
      </c>
      <c r="Q269" s="167">
        <f t="shared" si="103"/>
        <v>98072</v>
      </c>
      <c r="R269" s="982">
        <f t="shared" si="85"/>
        <v>100.9241155041472</v>
      </c>
    </row>
    <row r="270" spans="2:18" ht="12" customHeight="1" x14ac:dyDescent="0.2">
      <c r="B270" s="172">
        <f t="shared" si="99"/>
        <v>265</v>
      </c>
      <c r="C270" s="126"/>
      <c r="D270" s="127"/>
      <c r="E270" s="127"/>
      <c r="F270" s="143" t="s">
        <v>218</v>
      </c>
      <c r="G270" s="201" t="s">
        <v>341</v>
      </c>
      <c r="H270" s="573">
        <f>SUM(H271:H275)</f>
        <v>56846</v>
      </c>
      <c r="I270" s="573">
        <f>SUM(I271:I275)</f>
        <v>55926</v>
      </c>
      <c r="J270" s="965">
        <f t="shared" si="84"/>
        <v>98.381592372374485</v>
      </c>
      <c r="K270" s="338"/>
      <c r="L270" s="441"/>
      <c r="M270" s="441"/>
      <c r="N270" s="1036"/>
      <c r="O270" s="338"/>
      <c r="P270" s="167">
        <f t="shared" si="102"/>
        <v>56846</v>
      </c>
      <c r="Q270" s="167">
        <f t="shared" si="103"/>
        <v>55926</v>
      </c>
      <c r="R270" s="982">
        <f t="shared" si="85"/>
        <v>98.381592372374485</v>
      </c>
    </row>
    <row r="271" spans="2:18" ht="12" customHeight="1" x14ac:dyDescent="0.2">
      <c r="B271" s="172">
        <f t="shared" si="99"/>
        <v>266</v>
      </c>
      <c r="C271" s="126"/>
      <c r="D271" s="127"/>
      <c r="E271" s="127"/>
      <c r="F271" s="127" t="s">
        <v>199</v>
      </c>
      <c r="G271" s="193" t="s">
        <v>319</v>
      </c>
      <c r="H271" s="399">
        <f>25425-3159</f>
        <v>22266</v>
      </c>
      <c r="I271" s="399">
        <v>27921</v>
      </c>
      <c r="J271" s="966">
        <f t="shared" ref="J271:J337" si="107">I271/H271*100</f>
        <v>125.39746699002964</v>
      </c>
      <c r="K271" s="338"/>
      <c r="L271" s="441"/>
      <c r="M271" s="441"/>
      <c r="N271" s="1036"/>
      <c r="O271" s="338"/>
      <c r="P271" s="168">
        <f t="shared" si="102"/>
        <v>22266</v>
      </c>
      <c r="Q271" s="168">
        <f t="shared" si="103"/>
        <v>27921</v>
      </c>
      <c r="R271" s="983">
        <f t="shared" ref="R271:R337" si="108">Q271/P271*100</f>
        <v>125.39746699002964</v>
      </c>
    </row>
    <row r="272" spans="2:18" ht="12" customHeight="1" x14ac:dyDescent="0.2">
      <c r="B272" s="172">
        <f t="shared" si="99"/>
        <v>267</v>
      </c>
      <c r="C272" s="126"/>
      <c r="D272" s="127"/>
      <c r="E272" s="127"/>
      <c r="F272" s="127" t="s">
        <v>200</v>
      </c>
      <c r="G272" s="193" t="s">
        <v>247</v>
      </c>
      <c r="H272" s="399">
        <f>13320-1500</f>
        <v>11820</v>
      </c>
      <c r="I272" s="399">
        <v>9078</v>
      </c>
      <c r="J272" s="966">
        <f t="shared" si="107"/>
        <v>76.802030456852791</v>
      </c>
      <c r="K272" s="338"/>
      <c r="L272" s="441"/>
      <c r="M272" s="441"/>
      <c r="N272" s="1036"/>
      <c r="O272" s="338"/>
      <c r="P272" s="168">
        <f t="shared" si="102"/>
        <v>11820</v>
      </c>
      <c r="Q272" s="168">
        <f t="shared" si="103"/>
        <v>9078</v>
      </c>
      <c r="R272" s="983">
        <f t="shared" si="108"/>
        <v>76.802030456852791</v>
      </c>
    </row>
    <row r="273" spans="1:18" ht="12" customHeight="1" x14ac:dyDescent="0.2">
      <c r="B273" s="172">
        <f t="shared" si="99"/>
        <v>268</v>
      </c>
      <c r="C273" s="126"/>
      <c r="D273" s="127"/>
      <c r="E273" s="127"/>
      <c r="F273" s="127" t="s">
        <v>214</v>
      </c>
      <c r="G273" s="193" t="s">
        <v>261</v>
      </c>
      <c r="H273" s="399">
        <f>12270+7000-12000</f>
        <v>7270</v>
      </c>
      <c r="I273" s="399">
        <v>5985</v>
      </c>
      <c r="J273" s="966">
        <f t="shared" si="107"/>
        <v>82.324621733149925</v>
      </c>
      <c r="K273" s="338"/>
      <c r="L273" s="441"/>
      <c r="M273" s="441"/>
      <c r="N273" s="1036"/>
      <c r="O273" s="338"/>
      <c r="P273" s="168">
        <f t="shared" si="102"/>
        <v>7270</v>
      </c>
      <c r="Q273" s="168">
        <f t="shared" si="103"/>
        <v>5985</v>
      </c>
      <c r="R273" s="983">
        <f t="shared" si="108"/>
        <v>82.324621733149925</v>
      </c>
    </row>
    <row r="274" spans="1:18" ht="12" customHeight="1" x14ac:dyDescent="0.2">
      <c r="B274" s="172">
        <f t="shared" si="99"/>
        <v>269</v>
      </c>
      <c r="C274" s="126"/>
      <c r="D274" s="127"/>
      <c r="E274" s="127"/>
      <c r="F274" s="127" t="s">
        <v>215</v>
      </c>
      <c r="G274" s="193" t="s">
        <v>371</v>
      </c>
      <c r="H274" s="436">
        <f>1035+1000</f>
        <v>2035</v>
      </c>
      <c r="I274" s="436">
        <v>1444</v>
      </c>
      <c r="J274" s="978">
        <f t="shared" si="107"/>
        <v>70.958230958230956</v>
      </c>
      <c r="K274" s="339"/>
      <c r="L274" s="574"/>
      <c r="M274" s="574"/>
      <c r="N274" s="1037"/>
      <c r="O274" s="339"/>
      <c r="P274" s="169">
        <f t="shared" si="102"/>
        <v>2035</v>
      </c>
      <c r="Q274" s="169">
        <f t="shared" si="103"/>
        <v>1444</v>
      </c>
      <c r="R274" s="986">
        <f t="shared" si="108"/>
        <v>70.958230958230956</v>
      </c>
    </row>
    <row r="275" spans="1:18" s="115" customFormat="1" ht="12" customHeight="1" x14ac:dyDescent="0.2">
      <c r="A275" s="243"/>
      <c r="B275" s="172">
        <f t="shared" si="99"/>
        <v>270</v>
      </c>
      <c r="C275" s="126"/>
      <c r="D275" s="127"/>
      <c r="E275" s="127"/>
      <c r="F275" s="127" t="s">
        <v>216</v>
      </c>
      <c r="G275" s="193" t="s">
        <v>248</v>
      </c>
      <c r="H275" s="399">
        <v>13455</v>
      </c>
      <c r="I275" s="399">
        <v>11498</v>
      </c>
      <c r="J275" s="966">
        <f t="shared" si="107"/>
        <v>85.455221107395019</v>
      </c>
      <c r="K275" s="339"/>
      <c r="L275" s="574"/>
      <c r="M275" s="574"/>
      <c r="N275" s="1037"/>
      <c r="O275" s="339"/>
      <c r="P275" s="169">
        <f t="shared" si="102"/>
        <v>13455</v>
      </c>
      <c r="Q275" s="169">
        <f t="shared" si="103"/>
        <v>11498</v>
      </c>
      <c r="R275" s="986">
        <f t="shared" si="108"/>
        <v>85.455221107395019</v>
      </c>
    </row>
    <row r="276" spans="1:18" s="115" customFormat="1" ht="12" customHeight="1" x14ac:dyDescent="0.2">
      <c r="A276" s="243"/>
      <c r="B276" s="172">
        <f t="shared" si="99"/>
        <v>271</v>
      </c>
      <c r="C276" s="126"/>
      <c r="D276" s="127"/>
      <c r="E276" s="170"/>
      <c r="F276" s="143" t="s">
        <v>217</v>
      </c>
      <c r="G276" s="201" t="s">
        <v>372</v>
      </c>
      <c r="H276" s="573">
        <f>8490+500-1890</f>
        <v>7100</v>
      </c>
      <c r="I276" s="573">
        <v>5903</v>
      </c>
      <c r="J276" s="965">
        <f t="shared" si="107"/>
        <v>83.140845070422529</v>
      </c>
      <c r="K276" s="340"/>
      <c r="L276" s="439"/>
      <c r="M276" s="439"/>
      <c r="N276" s="1040"/>
      <c r="O276" s="340"/>
      <c r="P276" s="575">
        <f>H276+L276</f>
        <v>7100</v>
      </c>
      <c r="Q276" s="575">
        <f t="shared" si="103"/>
        <v>5903</v>
      </c>
      <c r="R276" s="1001">
        <f t="shared" si="108"/>
        <v>83.140845070422529</v>
      </c>
    </row>
    <row r="277" spans="1:18" ht="14.25" x14ac:dyDescent="0.2">
      <c r="B277" s="172">
        <f t="shared" si="99"/>
        <v>272</v>
      </c>
      <c r="C277" s="126"/>
      <c r="D277" s="127"/>
      <c r="E277" s="565" t="s">
        <v>685</v>
      </c>
      <c r="F277" s="562" t="s">
        <v>686</v>
      </c>
      <c r="G277" s="558"/>
      <c r="H277" s="566">
        <f>H278+H279+H280+H288</f>
        <v>539972</v>
      </c>
      <c r="I277" s="566">
        <f t="shared" ref="I277" si="109">I278+I279+I280+I288</f>
        <v>547042</v>
      </c>
      <c r="J277" s="1028">
        <f t="shared" si="107"/>
        <v>101.30932715029668</v>
      </c>
      <c r="K277" s="338"/>
      <c r="L277" s="560"/>
      <c r="M277" s="560"/>
      <c r="N277" s="1037"/>
      <c r="O277" s="338"/>
      <c r="P277" s="564">
        <f t="shared" ref="P277:P298" si="110">H277+L277</f>
        <v>539972</v>
      </c>
      <c r="Q277" s="564">
        <f t="shared" si="103"/>
        <v>547042</v>
      </c>
      <c r="R277" s="1001">
        <f t="shared" si="108"/>
        <v>101.30932715029668</v>
      </c>
    </row>
    <row r="278" spans="1:18" x14ac:dyDescent="0.2">
      <c r="B278" s="172">
        <f t="shared" si="99"/>
        <v>273</v>
      </c>
      <c r="C278" s="126"/>
      <c r="D278" s="127"/>
      <c r="E278" s="166"/>
      <c r="F278" s="143" t="s">
        <v>211</v>
      </c>
      <c r="G278" s="201" t="s">
        <v>506</v>
      </c>
      <c r="H278" s="492">
        <f>289990+22123-3550+18947+3386</f>
        <v>330896</v>
      </c>
      <c r="I278" s="492">
        <v>328494</v>
      </c>
      <c r="J278" s="995">
        <f t="shared" si="107"/>
        <v>99.274092161887722</v>
      </c>
      <c r="K278" s="338"/>
      <c r="L278" s="574"/>
      <c r="M278" s="574"/>
      <c r="N278" s="1037"/>
      <c r="O278" s="338"/>
      <c r="P278" s="575">
        <f t="shared" si="110"/>
        <v>330896</v>
      </c>
      <c r="Q278" s="575">
        <f t="shared" si="103"/>
        <v>328494</v>
      </c>
      <c r="R278" s="1001">
        <f t="shared" si="108"/>
        <v>99.274092161887722</v>
      </c>
    </row>
    <row r="279" spans="1:18" x14ac:dyDescent="0.2">
      <c r="B279" s="172">
        <f t="shared" si="99"/>
        <v>274</v>
      </c>
      <c r="C279" s="126"/>
      <c r="D279" s="127"/>
      <c r="E279" s="166"/>
      <c r="F279" s="143" t="s">
        <v>212</v>
      </c>
      <c r="G279" s="201" t="s">
        <v>259</v>
      </c>
      <c r="H279" s="492">
        <f>106345+6746+5514+1331</f>
        <v>119936</v>
      </c>
      <c r="I279" s="492">
        <v>119170</v>
      </c>
      <c r="J279" s="995">
        <f t="shared" si="107"/>
        <v>99.361326040554971</v>
      </c>
      <c r="K279" s="338"/>
      <c r="L279" s="574"/>
      <c r="M279" s="574"/>
      <c r="N279" s="1037"/>
      <c r="O279" s="338"/>
      <c r="P279" s="575">
        <f t="shared" si="110"/>
        <v>119936</v>
      </c>
      <c r="Q279" s="575">
        <f t="shared" si="103"/>
        <v>119170</v>
      </c>
      <c r="R279" s="1001">
        <f t="shared" si="108"/>
        <v>99.361326040554971</v>
      </c>
    </row>
    <row r="280" spans="1:18" x14ac:dyDescent="0.2">
      <c r="B280" s="172">
        <f t="shared" si="99"/>
        <v>275</v>
      </c>
      <c r="C280" s="126"/>
      <c r="D280" s="127"/>
      <c r="E280" s="166"/>
      <c r="F280" s="143" t="s">
        <v>218</v>
      </c>
      <c r="G280" s="201" t="s">
        <v>341</v>
      </c>
      <c r="H280" s="573">
        <f>SUM(H281:H287)</f>
        <v>77434</v>
      </c>
      <c r="I280" s="573">
        <f t="shared" ref="I280" si="111">SUM(I281:I287)</f>
        <v>87056</v>
      </c>
      <c r="J280" s="965">
        <f t="shared" si="107"/>
        <v>112.42606606916858</v>
      </c>
      <c r="K280" s="338"/>
      <c r="L280" s="574"/>
      <c r="M280" s="574"/>
      <c r="N280" s="1037"/>
      <c r="O280" s="338"/>
      <c r="P280" s="575">
        <f t="shared" si="110"/>
        <v>77434</v>
      </c>
      <c r="Q280" s="575">
        <f t="shared" si="103"/>
        <v>87056</v>
      </c>
      <c r="R280" s="1001">
        <f t="shared" si="108"/>
        <v>112.42606606916858</v>
      </c>
    </row>
    <row r="281" spans="1:18" x14ac:dyDescent="0.2">
      <c r="B281" s="172">
        <f t="shared" si="99"/>
        <v>276</v>
      </c>
      <c r="C281" s="126"/>
      <c r="D281" s="127"/>
      <c r="E281" s="166"/>
      <c r="F281" s="127" t="s">
        <v>213</v>
      </c>
      <c r="G281" s="193" t="s">
        <v>255</v>
      </c>
      <c r="H281" s="436">
        <v>330</v>
      </c>
      <c r="I281" s="436">
        <v>420</v>
      </c>
      <c r="J281" s="978">
        <f t="shared" si="107"/>
        <v>127.27272727272727</v>
      </c>
      <c r="K281" s="338"/>
      <c r="L281" s="574"/>
      <c r="M281" s="574"/>
      <c r="N281" s="1037"/>
      <c r="O281" s="338"/>
      <c r="P281" s="169">
        <f t="shared" si="110"/>
        <v>330</v>
      </c>
      <c r="Q281" s="169">
        <f t="shared" si="103"/>
        <v>420</v>
      </c>
      <c r="R281" s="986">
        <f t="shared" si="108"/>
        <v>127.27272727272727</v>
      </c>
    </row>
    <row r="282" spans="1:18" x14ac:dyDescent="0.2">
      <c r="B282" s="172">
        <f t="shared" si="99"/>
        <v>277</v>
      </c>
      <c r="C282" s="126"/>
      <c r="D282" s="127"/>
      <c r="E282" s="166"/>
      <c r="F282" s="127" t="s">
        <v>199</v>
      </c>
      <c r="G282" s="193" t="s">
        <v>319</v>
      </c>
      <c r="H282" s="436">
        <f>31075-6549</f>
        <v>24526</v>
      </c>
      <c r="I282" s="436">
        <v>27347</v>
      </c>
      <c r="J282" s="978">
        <f t="shared" si="107"/>
        <v>111.50207942591534</v>
      </c>
      <c r="K282" s="338"/>
      <c r="L282" s="574"/>
      <c r="M282" s="574"/>
      <c r="N282" s="1037"/>
      <c r="O282" s="338"/>
      <c r="P282" s="169">
        <f t="shared" si="110"/>
        <v>24526</v>
      </c>
      <c r="Q282" s="169">
        <f t="shared" si="103"/>
        <v>27347</v>
      </c>
      <c r="R282" s="986">
        <f t="shared" si="108"/>
        <v>111.50207942591534</v>
      </c>
    </row>
    <row r="283" spans="1:18" x14ac:dyDescent="0.2">
      <c r="B283" s="172">
        <f t="shared" si="99"/>
        <v>278</v>
      </c>
      <c r="C283" s="126"/>
      <c r="D283" s="127"/>
      <c r="E283" s="166"/>
      <c r="F283" s="127" t="s">
        <v>200</v>
      </c>
      <c r="G283" s="193" t="s">
        <v>247</v>
      </c>
      <c r="H283" s="436">
        <f>16485+615</f>
        <v>17100</v>
      </c>
      <c r="I283" s="436">
        <v>18054</v>
      </c>
      <c r="J283" s="978">
        <f t="shared" si="107"/>
        <v>105.57894736842105</v>
      </c>
      <c r="K283" s="338"/>
      <c r="L283" s="574"/>
      <c r="M283" s="574"/>
      <c r="N283" s="1037"/>
      <c r="O283" s="338"/>
      <c r="P283" s="169">
        <f t="shared" si="110"/>
        <v>17100</v>
      </c>
      <c r="Q283" s="169">
        <f t="shared" si="103"/>
        <v>18054</v>
      </c>
      <c r="R283" s="986">
        <f t="shared" si="108"/>
        <v>105.57894736842105</v>
      </c>
    </row>
    <row r="284" spans="1:18" x14ac:dyDescent="0.2">
      <c r="B284" s="172">
        <f t="shared" si="99"/>
        <v>279</v>
      </c>
      <c r="C284" s="126"/>
      <c r="D284" s="127"/>
      <c r="E284" s="166"/>
      <c r="F284" s="127" t="s">
        <v>201</v>
      </c>
      <c r="G284" s="193" t="s">
        <v>260</v>
      </c>
      <c r="H284" s="436">
        <v>140</v>
      </c>
      <c r="I284" s="436">
        <v>47</v>
      </c>
      <c r="J284" s="978">
        <f t="shared" si="107"/>
        <v>33.571428571428569</v>
      </c>
      <c r="K284" s="338"/>
      <c r="L284" s="574"/>
      <c r="M284" s="574"/>
      <c r="N284" s="1037"/>
      <c r="O284" s="338"/>
      <c r="P284" s="169">
        <f t="shared" si="110"/>
        <v>140</v>
      </c>
      <c r="Q284" s="169">
        <f t="shared" si="103"/>
        <v>47</v>
      </c>
      <c r="R284" s="986">
        <f t="shared" si="108"/>
        <v>33.571428571428569</v>
      </c>
    </row>
    <row r="285" spans="1:18" x14ac:dyDescent="0.2">
      <c r="B285" s="172">
        <f t="shared" si="99"/>
        <v>280</v>
      </c>
      <c r="C285" s="126"/>
      <c r="D285" s="127"/>
      <c r="E285" s="166"/>
      <c r="F285" s="127" t="s">
        <v>214</v>
      </c>
      <c r="G285" s="193" t="s">
        <v>261</v>
      </c>
      <c r="H285" s="436">
        <f>17630+10148-15000</f>
        <v>12778</v>
      </c>
      <c r="I285" s="436">
        <v>15563</v>
      </c>
      <c r="J285" s="978">
        <f t="shared" si="107"/>
        <v>121.79527312568477</v>
      </c>
      <c r="K285" s="338"/>
      <c r="L285" s="574"/>
      <c r="M285" s="574"/>
      <c r="N285" s="1037"/>
      <c r="O285" s="338"/>
      <c r="P285" s="169">
        <f t="shared" si="110"/>
        <v>12778</v>
      </c>
      <c r="Q285" s="169">
        <f t="shared" si="103"/>
        <v>15563</v>
      </c>
      <c r="R285" s="986">
        <f t="shared" si="108"/>
        <v>121.79527312568477</v>
      </c>
    </row>
    <row r="286" spans="1:18" x14ac:dyDescent="0.2">
      <c r="B286" s="172">
        <f t="shared" si="99"/>
        <v>281</v>
      </c>
      <c r="C286" s="126"/>
      <c r="D286" s="127"/>
      <c r="E286" s="166"/>
      <c r="F286" s="127" t="s">
        <v>215</v>
      </c>
      <c r="G286" s="193" t="s">
        <v>635</v>
      </c>
      <c r="H286" s="436">
        <v>1265</v>
      </c>
      <c r="I286" s="436">
        <v>1293</v>
      </c>
      <c r="J286" s="978">
        <f t="shared" si="107"/>
        <v>102.21343873517787</v>
      </c>
      <c r="K286" s="338"/>
      <c r="L286" s="574"/>
      <c r="M286" s="574"/>
      <c r="N286" s="1037"/>
      <c r="O286" s="338"/>
      <c r="P286" s="169">
        <f t="shared" si="110"/>
        <v>1265</v>
      </c>
      <c r="Q286" s="169">
        <f t="shared" si="103"/>
        <v>1293</v>
      </c>
      <c r="R286" s="986">
        <f t="shared" si="108"/>
        <v>102.21343873517787</v>
      </c>
    </row>
    <row r="287" spans="1:18" x14ac:dyDescent="0.2">
      <c r="B287" s="172">
        <f t="shared" si="99"/>
        <v>282</v>
      </c>
      <c r="C287" s="126"/>
      <c r="D287" s="127"/>
      <c r="E287" s="166"/>
      <c r="F287" s="127" t="s">
        <v>216</v>
      </c>
      <c r="G287" s="193" t="s">
        <v>248</v>
      </c>
      <c r="H287" s="436">
        <f>17445+3550+300</f>
        <v>21295</v>
      </c>
      <c r="I287" s="436">
        <v>24332</v>
      </c>
      <c r="J287" s="978">
        <f t="shared" si="107"/>
        <v>114.26156374735854</v>
      </c>
      <c r="K287" s="338"/>
      <c r="L287" s="574"/>
      <c r="M287" s="574"/>
      <c r="N287" s="1037"/>
      <c r="O287" s="338"/>
      <c r="P287" s="169">
        <f t="shared" si="110"/>
        <v>21295</v>
      </c>
      <c r="Q287" s="169">
        <f t="shared" si="103"/>
        <v>24332</v>
      </c>
      <c r="R287" s="986">
        <f t="shared" si="108"/>
        <v>114.26156374735854</v>
      </c>
    </row>
    <row r="288" spans="1:18" x14ac:dyDescent="0.2">
      <c r="B288" s="172">
        <f t="shared" si="99"/>
        <v>283</v>
      </c>
      <c r="C288" s="126"/>
      <c r="D288" s="127"/>
      <c r="E288" s="166"/>
      <c r="F288" s="286" t="s">
        <v>217</v>
      </c>
      <c r="G288" s="201" t="s">
        <v>372</v>
      </c>
      <c r="H288" s="492">
        <f>10390+650+666</f>
        <v>11706</v>
      </c>
      <c r="I288" s="492">
        <v>12322</v>
      </c>
      <c r="J288" s="995">
        <f t="shared" si="107"/>
        <v>105.26225867076712</v>
      </c>
      <c r="K288" s="338"/>
      <c r="L288" s="574"/>
      <c r="M288" s="574"/>
      <c r="N288" s="1037"/>
      <c r="O288" s="338"/>
      <c r="P288" s="575">
        <f t="shared" si="110"/>
        <v>11706</v>
      </c>
      <c r="Q288" s="575">
        <f t="shared" si="103"/>
        <v>12322</v>
      </c>
      <c r="R288" s="1001">
        <f t="shared" si="108"/>
        <v>105.26225867076712</v>
      </c>
    </row>
    <row r="289" spans="1:18" ht="15" x14ac:dyDescent="0.25">
      <c r="B289" s="172">
        <f t="shared" si="99"/>
        <v>284</v>
      </c>
      <c r="C289" s="126"/>
      <c r="D289" s="263" t="s">
        <v>169</v>
      </c>
      <c r="E289" s="147" t="s">
        <v>430</v>
      </c>
      <c r="F289" s="147" t="s">
        <v>373</v>
      </c>
      <c r="G289" s="238"/>
      <c r="H289" s="427">
        <f>H290+H300</f>
        <v>543300</v>
      </c>
      <c r="I289" s="427">
        <f>I290+I300+I312</f>
        <v>544754</v>
      </c>
      <c r="J289" s="965">
        <f t="shared" si="107"/>
        <v>100.26762378060003</v>
      </c>
      <c r="K289" s="341"/>
      <c r="L289" s="432">
        <f>L290+L300</f>
        <v>35240</v>
      </c>
      <c r="M289" s="432">
        <f t="shared" ref="M289" si="112">M290+M300</f>
        <v>300</v>
      </c>
      <c r="N289" s="1035">
        <f t="shared" ref="N289:N314" si="113">M289/L289*100</f>
        <v>0.85130533484676496</v>
      </c>
      <c r="O289" s="341"/>
      <c r="P289" s="331">
        <f t="shared" si="110"/>
        <v>578540</v>
      </c>
      <c r="Q289" s="331">
        <f t="shared" si="103"/>
        <v>545054</v>
      </c>
      <c r="R289" s="982">
        <f t="shared" si="108"/>
        <v>94.211981885435748</v>
      </c>
    </row>
    <row r="290" spans="1:18" ht="14.25" x14ac:dyDescent="0.2">
      <c r="B290" s="172">
        <f t="shared" si="99"/>
        <v>285</v>
      </c>
      <c r="C290" s="74"/>
      <c r="D290" s="558"/>
      <c r="E290" s="565" t="s">
        <v>429</v>
      </c>
      <c r="F290" s="562" t="s">
        <v>687</v>
      </c>
      <c r="G290" s="561"/>
      <c r="H290" s="563">
        <f>H291+H292+H293+H299</f>
        <v>253772</v>
      </c>
      <c r="I290" s="563">
        <f t="shared" ref="I290" si="114">I291+I292+I293+I299</f>
        <v>253770</v>
      </c>
      <c r="J290" s="995">
        <f t="shared" si="107"/>
        <v>99.999211890988761</v>
      </c>
      <c r="K290" s="334"/>
      <c r="L290" s="560"/>
      <c r="M290" s="560"/>
      <c r="N290" s="1037"/>
      <c r="O290" s="334"/>
      <c r="P290" s="564">
        <f t="shared" si="110"/>
        <v>253772</v>
      </c>
      <c r="Q290" s="564">
        <f t="shared" si="103"/>
        <v>253770</v>
      </c>
      <c r="R290" s="1001">
        <f t="shared" si="108"/>
        <v>99.999211890988761</v>
      </c>
    </row>
    <row r="291" spans="1:18" ht="12" customHeight="1" x14ac:dyDescent="0.2">
      <c r="B291" s="172">
        <f t="shared" ref="B291:B297" si="115">B290+1</f>
        <v>286</v>
      </c>
      <c r="C291" s="126"/>
      <c r="D291" s="127"/>
      <c r="E291" s="127"/>
      <c r="F291" s="143" t="s">
        <v>211</v>
      </c>
      <c r="G291" s="201" t="s">
        <v>506</v>
      </c>
      <c r="H291" s="573">
        <f>141040+6050+8147+1473</f>
        <v>156710</v>
      </c>
      <c r="I291" s="573">
        <v>156632</v>
      </c>
      <c r="J291" s="965">
        <f t="shared" si="107"/>
        <v>99.950226533086592</v>
      </c>
      <c r="K291" s="338"/>
      <c r="L291" s="441"/>
      <c r="M291" s="441"/>
      <c r="N291" s="1036"/>
      <c r="O291" s="338"/>
      <c r="P291" s="167">
        <f t="shared" si="110"/>
        <v>156710</v>
      </c>
      <c r="Q291" s="167">
        <f t="shared" si="103"/>
        <v>156632</v>
      </c>
      <c r="R291" s="982">
        <f t="shared" si="108"/>
        <v>99.950226533086592</v>
      </c>
    </row>
    <row r="292" spans="1:18" ht="12" customHeight="1" x14ac:dyDescent="0.2">
      <c r="B292" s="172">
        <f t="shared" si="115"/>
        <v>287</v>
      </c>
      <c r="C292" s="126"/>
      <c r="D292" s="127"/>
      <c r="E292" s="127"/>
      <c r="F292" s="143" t="s">
        <v>212</v>
      </c>
      <c r="G292" s="201" t="s">
        <v>259</v>
      </c>
      <c r="H292" s="573">
        <f>50327+1356+3607+540</f>
        <v>55830</v>
      </c>
      <c r="I292" s="573">
        <v>55827</v>
      </c>
      <c r="J292" s="965">
        <f t="shared" si="107"/>
        <v>99.994626544868353</v>
      </c>
      <c r="K292" s="338"/>
      <c r="L292" s="441"/>
      <c r="M292" s="441"/>
      <c r="N292" s="1036"/>
      <c r="O292" s="338"/>
      <c r="P292" s="167">
        <f t="shared" si="110"/>
        <v>55830</v>
      </c>
      <c r="Q292" s="167">
        <f t="shared" si="103"/>
        <v>55827</v>
      </c>
      <c r="R292" s="982">
        <f t="shared" si="108"/>
        <v>99.994626544868353</v>
      </c>
    </row>
    <row r="293" spans="1:18" ht="12" customHeight="1" x14ac:dyDescent="0.2">
      <c r="B293" s="172">
        <f t="shared" si="115"/>
        <v>288</v>
      </c>
      <c r="C293" s="126"/>
      <c r="D293" s="127"/>
      <c r="E293" s="127"/>
      <c r="F293" s="143" t="s">
        <v>218</v>
      </c>
      <c r="G293" s="201" t="s">
        <v>341</v>
      </c>
      <c r="H293" s="573">
        <f>SUM(H294:H298)</f>
        <v>38890</v>
      </c>
      <c r="I293" s="573">
        <f t="shared" ref="I293" si="116">SUM(I294:I298)</f>
        <v>38891</v>
      </c>
      <c r="J293" s="965">
        <f t="shared" si="107"/>
        <v>100.00257135510412</v>
      </c>
      <c r="K293" s="338"/>
      <c r="L293" s="441"/>
      <c r="M293" s="441"/>
      <c r="N293" s="1036"/>
      <c r="O293" s="338"/>
      <c r="P293" s="167">
        <f t="shared" si="110"/>
        <v>38890</v>
      </c>
      <c r="Q293" s="167">
        <f t="shared" si="103"/>
        <v>38891</v>
      </c>
      <c r="R293" s="982">
        <f t="shared" si="108"/>
        <v>100.00257135510412</v>
      </c>
    </row>
    <row r="294" spans="1:18" ht="12" customHeight="1" x14ac:dyDescent="0.2">
      <c r="B294" s="172">
        <f t="shared" si="115"/>
        <v>289</v>
      </c>
      <c r="C294" s="126"/>
      <c r="D294" s="127"/>
      <c r="E294" s="127"/>
      <c r="F294" s="127" t="s">
        <v>213</v>
      </c>
      <c r="G294" s="193" t="s">
        <v>255</v>
      </c>
      <c r="H294" s="399">
        <f>25+61</f>
        <v>86</v>
      </c>
      <c r="I294" s="399">
        <v>124</v>
      </c>
      <c r="J294" s="966">
        <f t="shared" si="107"/>
        <v>144.18604651162789</v>
      </c>
      <c r="K294" s="338"/>
      <c r="L294" s="441"/>
      <c r="M294" s="441"/>
      <c r="N294" s="1036"/>
      <c r="O294" s="338"/>
      <c r="P294" s="168">
        <f t="shared" si="110"/>
        <v>86</v>
      </c>
      <c r="Q294" s="168">
        <f t="shared" si="103"/>
        <v>124</v>
      </c>
      <c r="R294" s="983">
        <f t="shared" si="108"/>
        <v>144.18604651162789</v>
      </c>
    </row>
    <row r="295" spans="1:18" ht="12" customHeight="1" x14ac:dyDescent="0.2">
      <c r="B295" s="172">
        <f t="shared" si="115"/>
        <v>290</v>
      </c>
      <c r="C295" s="126"/>
      <c r="D295" s="127"/>
      <c r="E295" s="127"/>
      <c r="F295" s="127" t="s">
        <v>199</v>
      </c>
      <c r="G295" s="193" t="s">
        <v>319</v>
      </c>
      <c r="H295" s="399">
        <f>21550-8578</f>
        <v>12972</v>
      </c>
      <c r="I295" s="399">
        <v>13042</v>
      </c>
      <c r="J295" s="966">
        <f t="shared" si="107"/>
        <v>100.53962380511872</v>
      </c>
      <c r="K295" s="338"/>
      <c r="L295" s="441"/>
      <c r="M295" s="441"/>
      <c r="N295" s="1036"/>
      <c r="O295" s="338"/>
      <c r="P295" s="168">
        <f t="shared" si="110"/>
        <v>12972</v>
      </c>
      <c r="Q295" s="168">
        <f t="shared" si="103"/>
        <v>13042</v>
      </c>
      <c r="R295" s="983">
        <f t="shared" si="108"/>
        <v>100.53962380511872</v>
      </c>
    </row>
    <row r="296" spans="1:18" ht="12" customHeight="1" x14ac:dyDescent="0.2">
      <c r="B296" s="172">
        <f t="shared" si="115"/>
        <v>291</v>
      </c>
      <c r="C296" s="126"/>
      <c r="D296" s="127"/>
      <c r="E296" s="127"/>
      <c r="F296" s="127" t="s">
        <v>200</v>
      </c>
      <c r="G296" s="193" t="s">
        <v>247</v>
      </c>
      <c r="H296" s="399">
        <f>9660+283</f>
        <v>9943</v>
      </c>
      <c r="I296" s="399">
        <v>7165</v>
      </c>
      <c r="J296" s="966">
        <f t="shared" si="107"/>
        <v>72.060746253645775</v>
      </c>
      <c r="K296" s="338"/>
      <c r="L296" s="441"/>
      <c r="M296" s="441"/>
      <c r="N296" s="1036"/>
      <c r="O296" s="338"/>
      <c r="P296" s="168">
        <f t="shared" si="110"/>
        <v>9943</v>
      </c>
      <c r="Q296" s="168">
        <f t="shared" si="103"/>
        <v>7165</v>
      </c>
      <c r="R296" s="983">
        <f t="shared" si="108"/>
        <v>72.060746253645775</v>
      </c>
    </row>
    <row r="297" spans="1:18" ht="12" customHeight="1" x14ac:dyDescent="0.2">
      <c r="B297" s="172">
        <f t="shared" si="115"/>
        <v>292</v>
      </c>
      <c r="C297" s="126"/>
      <c r="D297" s="127"/>
      <c r="E297" s="127"/>
      <c r="F297" s="127" t="s">
        <v>214</v>
      </c>
      <c r="G297" s="193" t="s">
        <v>261</v>
      </c>
      <c r="H297" s="399">
        <f>1480+5000-5546</f>
        <v>934</v>
      </c>
      <c r="I297" s="399">
        <v>934</v>
      </c>
      <c r="J297" s="966">
        <f t="shared" si="107"/>
        <v>100</v>
      </c>
      <c r="K297" s="338"/>
      <c r="L297" s="441"/>
      <c r="M297" s="441"/>
      <c r="N297" s="1036"/>
      <c r="O297" s="338"/>
      <c r="P297" s="168">
        <f t="shared" si="110"/>
        <v>934</v>
      </c>
      <c r="Q297" s="168">
        <f t="shared" si="103"/>
        <v>934</v>
      </c>
      <c r="R297" s="983">
        <f t="shared" si="108"/>
        <v>100</v>
      </c>
    </row>
    <row r="298" spans="1:18" s="115" customFormat="1" ht="12" customHeight="1" x14ac:dyDescent="0.2">
      <c r="A298" s="243"/>
      <c r="B298" s="172">
        <f t="shared" ref="B298:B361" si="117">B297+1</f>
        <v>293</v>
      </c>
      <c r="C298" s="126"/>
      <c r="D298" s="127"/>
      <c r="E298" s="127"/>
      <c r="F298" s="127" t="s">
        <v>216</v>
      </c>
      <c r="G298" s="193" t="s">
        <v>248</v>
      </c>
      <c r="H298" s="399">
        <f>8722+6233</f>
        <v>14955</v>
      </c>
      <c r="I298" s="399">
        <v>17626</v>
      </c>
      <c r="J298" s="966">
        <f t="shared" si="107"/>
        <v>117.86024740889334</v>
      </c>
      <c r="K298" s="338"/>
      <c r="L298" s="441"/>
      <c r="M298" s="441"/>
      <c r="N298" s="1036"/>
      <c r="O298" s="338"/>
      <c r="P298" s="168">
        <f t="shared" si="110"/>
        <v>14955</v>
      </c>
      <c r="Q298" s="168">
        <f t="shared" si="103"/>
        <v>17626</v>
      </c>
      <c r="R298" s="983">
        <f t="shared" si="108"/>
        <v>117.86024740889334</v>
      </c>
    </row>
    <row r="299" spans="1:18" ht="12" customHeight="1" x14ac:dyDescent="0.2">
      <c r="B299" s="172">
        <f t="shared" si="117"/>
        <v>294</v>
      </c>
      <c r="C299" s="126"/>
      <c r="D299" s="127"/>
      <c r="E299" s="127"/>
      <c r="F299" s="286" t="s">
        <v>217</v>
      </c>
      <c r="G299" s="201" t="s">
        <v>372</v>
      </c>
      <c r="H299" s="573">
        <f>2750-408</f>
        <v>2342</v>
      </c>
      <c r="I299" s="573">
        <v>2420</v>
      </c>
      <c r="J299" s="965">
        <f t="shared" si="107"/>
        <v>103.33048676345004</v>
      </c>
      <c r="K299" s="338"/>
      <c r="L299" s="441"/>
      <c r="M299" s="441"/>
      <c r="N299" s="1036"/>
      <c r="O299" s="338"/>
      <c r="P299" s="167">
        <f>H299+L299</f>
        <v>2342</v>
      </c>
      <c r="Q299" s="167">
        <f t="shared" si="103"/>
        <v>2420</v>
      </c>
      <c r="R299" s="982">
        <f t="shared" si="108"/>
        <v>103.33048676345004</v>
      </c>
    </row>
    <row r="300" spans="1:18" ht="15" x14ac:dyDescent="0.25">
      <c r="B300" s="172">
        <f t="shared" si="117"/>
        <v>295</v>
      </c>
      <c r="C300" s="126"/>
      <c r="D300" s="127"/>
      <c r="E300" s="565" t="s">
        <v>685</v>
      </c>
      <c r="F300" s="562" t="s">
        <v>686</v>
      </c>
      <c r="G300" s="641"/>
      <c r="H300" s="566">
        <f>H301+H302+H303+H310</f>
        <v>289528</v>
      </c>
      <c r="I300" s="566">
        <f t="shared" ref="I300" si="118">I301+I302+I303+I310</f>
        <v>289199</v>
      </c>
      <c r="J300" s="1028">
        <f t="shared" si="107"/>
        <v>99.886366776270336</v>
      </c>
      <c r="K300" s="338"/>
      <c r="L300" s="799">
        <f>L314</f>
        <v>35240</v>
      </c>
      <c r="M300" s="799">
        <f t="shared" ref="M300" si="119">M314</f>
        <v>300</v>
      </c>
      <c r="N300" s="1040">
        <f t="shared" si="113"/>
        <v>0.85130533484676496</v>
      </c>
      <c r="O300" s="338"/>
      <c r="P300" s="564">
        <f t="shared" ref="P300:P324" si="120">H300+L300</f>
        <v>324768</v>
      </c>
      <c r="Q300" s="564">
        <f t="shared" si="103"/>
        <v>289499</v>
      </c>
      <c r="R300" s="1001">
        <f t="shared" si="108"/>
        <v>89.140247807665787</v>
      </c>
    </row>
    <row r="301" spans="1:18" x14ac:dyDescent="0.2">
      <c r="B301" s="172">
        <f t="shared" si="117"/>
        <v>296</v>
      </c>
      <c r="C301" s="126"/>
      <c r="D301" s="127"/>
      <c r="E301" s="166"/>
      <c r="F301" s="143" t="s">
        <v>211</v>
      </c>
      <c r="G301" s="201" t="s">
        <v>506</v>
      </c>
      <c r="H301" s="492">
        <f>149935+4445+6050+8148+1474</f>
        <v>170052</v>
      </c>
      <c r="I301" s="492">
        <v>170032</v>
      </c>
      <c r="J301" s="995">
        <f t="shared" si="107"/>
        <v>99.988238891633159</v>
      </c>
      <c r="K301" s="338"/>
      <c r="L301" s="574"/>
      <c r="M301" s="574"/>
      <c r="N301" s="1037"/>
      <c r="O301" s="338"/>
      <c r="P301" s="575">
        <f t="shared" si="120"/>
        <v>170052</v>
      </c>
      <c r="Q301" s="575">
        <f t="shared" si="103"/>
        <v>170032</v>
      </c>
      <c r="R301" s="1001">
        <f t="shared" si="108"/>
        <v>99.988238891633159</v>
      </c>
    </row>
    <row r="302" spans="1:18" x14ac:dyDescent="0.2">
      <c r="B302" s="172">
        <f t="shared" si="117"/>
        <v>297</v>
      </c>
      <c r="C302" s="126"/>
      <c r="D302" s="127"/>
      <c r="E302" s="166"/>
      <c r="F302" s="143" t="s">
        <v>212</v>
      </c>
      <c r="G302" s="201" t="s">
        <v>259</v>
      </c>
      <c r="H302" s="492">
        <f>53438+1555+1357+3607+542</f>
        <v>60499</v>
      </c>
      <c r="I302" s="492">
        <v>60436</v>
      </c>
      <c r="J302" s="995">
        <f t="shared" si="107"/>
        <v>99.895866047372678</v>
      </c>
      <c r="K302" s="338"/>
      <c r="L302" s="574"/>
      <c r="M302" s="574"/>
      <c r="N302" s="1037"/>
      <c r="O302" s="338"/>
      <c r="P302" s="575">
        <f t="shared" si="120"/>
        <v>60499</v>
      </c>
      <c r="Q302" s="575">
        <f t="shared" si="103"/>
        <v>60436</v>
      </c>
      <c r="R302" s="1001">
        <f t="shared" si="108"/>
        <v>99.895866047372678</v>
      </c>
    </row>
    <row r="303" spans="1:18" x14ac:dyDescent="0.2">
      <c r="B303" s="172">
        <f t="shared" si="117"/>
        <v>298</v>
      </c>
      <c r="C303" s="126"/>
      <c r="D303" s="127"/>
      <c r="E303" s="166"/>
      <c r="F303" s="143" t="s">
        <v>218</v>
      </c>
      <c r="G303" s="201" t="s">
        <v>341</v>
      </c>
      <c r="H303" s="573">
        <f>SUM(H304:H309)</f>
        <v>57460</v>
      </c>
      <c r="I303" s="573">
        <f t="shared" ref="I303" si="121">SUM(I304:I309)</f>
        <v>57136</v>
      </c>
      <c r="J303" s="965">
        <f t="shared" si="107"/>
        <v>99.436129481378359</v>
      </c>
      <c r="K303" s="338"/>
      <c r="L303" s="574"/>
      <c r="M303" s="574"/>
      <c r="N303" s="1037"/>
      <c r="O303" s="338"/>
      <c r="P303" s="575">
        <f t="shared" si="120"/>
        <v>57460</v>
      </c>
      <c r="Q303" s="575">
        <f t="shared" si="103"/>
        <v>57136</v>
      </c>
      <c r="R303" s="1001">
        <f t="shared" si="108"/>
        <v>99.436129481378359</v>
      </c>
    </row>
    <row r="304" spans="1:18" x14ac:dyDescent="0.2">
      <c r="B304" s="172">
        <f t="shared" si="117"/>
        <v>299</v>
      </c>
      <c r="C304" s="126"/>
      <c r="D304" s="127"/>
      <c r="E304" s="166"/>
      <c r="F304" s="127" t="s">
        <v>213</v>
      </c>
      <c r="G304" s="193" t="s">
        <v>255</v>
      </c>
      <c r="H304" s="436">
        <f>25+61</f>
        <v>86</v>
      </c>
      <c r="I304" s="436">
        <v>124</v>
      </c>
      <c r="J304" s="978">
        <f t="shared" si="107"/>
        <v>144.18604651162789</v>
      </c>
      <c r="K304" s="338"/>
      <c r="L304" s="574"/>
      <c r="M304" s="574"/>
      <c r="N304" s="1037"/>
      <c r="O304" s="338"/>
      <c r="P304" s="169">
        <f t="shared" si="120"/>
        <v>86</v>
      </c>
      <c r="Q304" s="169">
        <f t="shared" si="103"/>
        <v>124</v>
      </c>
      <c r="R304" s="986">
        <f t="shared" si="108"/>
        <v>144.18604651162789</v>
      </c>
    </row>
    <row r="305" spans="2:18" x14ac:dyDescent="0.2">
      <c r="B305" s="172">
        <f t="shared" si="117"/>
        <v>300</v>
      </c>
      <c r="C305" s="126"/>
      <c r="D305" s="127"/>
      <c r="E305" s="166"/>
      <c r="F305" s="127" t="s">
        <v>199</v>
      </c>
      <c r="G305" s="193" t="s">
        <v>319</v>
      </c>
      <c r="H305" s="436">
        <f>21550-8578</f>
        <v>12972</v>
      </c>
      <c r="I305" s="436">
        <v>13042</v>
      </c>
      <c r="J305" s="978">
        <f t="shared" si="107"/>
        <v>100.53962380511872</v>
      </c>
      <c r="K305" s="338"/>
      <c r="L305" s="574"/>
      <c r="M305" s="574"/>
      <c r="N305" s="1037"/>
      <c r="O305" s="338"/>
      <c r="P305" s="169">
        <f t="shared" si="120"/>
        <v>12972</v>
      </c>
      <c r="Q305" s="169">
        <f t="shared" si="103"/>
        <v>13042</v>
      </c>
      <c r="R305" s="986">
        <f t="shared" si="108"/>
        <v>100.53962380511872</v>
      </c>
    </row>
    <row r="306" spans="2:18" x14ac:dyDescent="0.2">
      <c r="B306" s="172">
        <f t="shared" si="117"/>
        <v>301</v>
      </c>
      <c r="C306" s="126"/>
      <c r="D306" s="127"/>
      <c r="E306" s="166"/>
      <c r="F306" s="127" t="s">
        <v>200</v>
      </c>
      <c r="G306" s="193" t="s">
        <v>247</v>
      </c>
      <c r="H306" s="436">
        <f>9660+3431</f>
        <v>13091</v>
      </c>
      <c r="I306" s="436">
        <v>9554</v>
      </c>
      <c r="J306" s="978">
        <f t="shared" si="107"/>
        <v>72.981437628905354</v>
      </c>
      <c r="K306" s="338"/>
      <c r="L306" s="574"/>
      <c r="M306" s="574"/>
      <c r="N306" s="1037"/>
      <c r="O306" s="338"/>
      <c r="P306" s="169">
        <f t="shared" si="120"/>
        <v>13091</v>
      </c>
      <c r="Q306" s="169">
        <f t="shared" si="103"/>
        <v>9554</v>
      </c>
      <c r="R306" s="986">
        <f t="shared" si="108"/>
        <v>72.981437628905354</v>
      </c>
    </row>
    <row r="307" spans="2:18" x14ac:dyDescent="0.2">
      <c r="B307" s="172">
        <f t="shared" si="117"/>
        <v>302</v>
      </c>
      <c r="C307" s="126"/>
      <c r="D307" s="127"/>
      <c r="E307" s="166"/>
      <c r="F307" s="127" t="s">
        <v>214</v>
      </c>
      <c r="G307" s="193" t="s">
        <v>261</v>
      </c>
      <c r="H307" s="436">
        <f>3880+5000-5546</f>
        <v>3334</v>
      </c>
      <c r="I307" s="436">
        <v>3769</v>
      </c>
      <c r="J307" s="978">
        <f t="shared" si="107"/>
        <v>113.04739052189564</v>
      </c>
      <c r="K307" s="338"/>
      <c r="L307" s="574"/>
      <c r="M307" s="574"/>
      <c r="N307" s="1037"/>
      <c r="O307" s="338"/>
      <c r="P307" s="169">
        <f t="shared" si="120"/>
        <v>3334</v>
      </c>
      <c r="Q307" s="169">
        <f t="shared" si="103"/>
        <v>3769</v>
      </c>
      <c r="R307" s="986">
        <f t="shared" si="108"/>
        <v>113.04739052189564</v>
      </c>
    </row>
    <row r="308" spans="2:18" x14ac:dyDescent="0.2">
      <c r="B308" s="172">
        <f t="shared" si="117"/>
        <v>303</v>
      </c>
      <c r="C308" s="126"/>
      <c r="D308" s="127"/>
      <c r="E308" s="166"/>
      <c r="F308" s="127" t="s">
        <v>216</v>
      </c>
      <c r="G308" s="193" t="s">
        <v>248</v>
      </c>
      <c r="H308" s="436">
        <f>8723+6232</f>
        <v>14955</v>
      </c>
      <c r="I308" s="436">
        <v>17625</v>
      </c>
      <c r="J308" s="978">
        <f t="shared" si="107"/>
        <v>117.85356068204614</v>
      </c>
      <c r="K308" s="338"/>
      <c r="L308" s="574"/>
      <c r="M308" s="574"/>
      <c r="N308" s="1037"/>
      <c r="O308" s="338"/>
      <c r="P308" s="169">
        <f t="shared" si="120"/>
        <v>14955</v>
      </c>
      <c r="Q308" s="169">
        <f t="shared" si="103"/>
        <v>17625</v>
      </c>
      <c r="R308" s="986">
        <f t="shared" si="108"/>
        <v>117.85356068204614</v>
      </c>
    </row>
    <row r="309" spans="2:18" x14ac:dyDescent="0.2">
      <c r="B309" s="172">
        <f t="shared" si="117"/>
        <v>304</v>
      </c>
      <c r="C309" s="126"/>
      <c r="D309" s="127"/>
      <c r="E309" s="166"/>
      <c r="F309" s="127" t="s">
        <v>218</v>
      </c>
      <c r="G309" s="193" t="s">
        <v>789</v>
      </c>
      <c r="H309" s="436">
        <v>13022</v>
      </c>
      <c r="I309" s="436">
        <v>13022</v>
      </c>
      <c r="J309" s="978">
        <f t="shared" si="107"/>
        <v>100</v>
      </c>
      <c r="K309" s="338"/>
      <c r="L309" s="574"/>
      <c r="M309" s="574"/>
      <c r="N309" s="1037"/>
      <c r="O309" s="338"/>
      <c r="P309" s="169">
        <f t="shared" si="120"/>
        <v>13022</v>
      </c>
      <c r="Q309" s="169">
        <f t="shared" si="103"/>
        <v>13022</v>
      </c>
      <c r="R309" s="986">
        <f t="shared" si="108"/>
        <v>100</v>
      </c>
    </row>
    <row r="310" spans="2:18" x14ac:dyDescent="0.2">
      <c r="B310" s="172">
        <f t="shared" si="117"/>
        <v>305</v>
      </c>
      <c r="C310" s="126"/>
      <c r="D310" s="127"/>
      <c r="E310" s="166"/>
      <c r="F310" s="286" t="s">
        <v>217</v>
      </c>
      <c r="G310" s="201" t="s">
        <v>372</v>
      </c>
      <c r="H310" s="492">
        <f>2750-1233</f>
        <v>1517</v>
      </c>
      <c r="I310" s="492">
        <v>1595</v>
      </c>
      <c r="J310" s="995">
        <f t="shared" si="107"/>
        <v>105.1417270929466</v>
      </c>
      <c r="K310" s="338"/>
      <c r="L310" s="574"/>
      <c r="M310" s="574"/>
      <c r="N310" s="1037"/>
      <c r="O310" s="338"/>
      <c r="P310" s="575">
        <f t="shared" si="120"/>
        <v>1517</v>
      </c>
      <c r="Q310" s="575">
        <f t="shared" si="103"/>
        <v>1595</v>
      </c>
      <c r="R310" s="1001">
        <f t="shared" si="108"/>
        <v>105.1417270929466</v>
      </c>
    </row>
    <row r="311" spans="2:18" x14ac:dyDescent="0.2">
      <c r="B311" s="172">
        <f t="shared" si="117"/>
        <v>306</v>
      </c>
      <c r="C311" s="126"/>
      <c r="D311" s="127"/>
      <c r="E311" s="166"/>
      <c r="F311" s="286"/>
      <c r="G311" s="201"/>
      <c r="H311" s="492"/>
      <c r="I311" s="492"/>
      <c r="J311" s="995"/>
      <c r="K311" s="338"/>
      <c r="L311" s="441"/>
      <c r="M311" s="441"/>
      <c r="N311" s="1036"/>
      <c r="O311" s="338"/>
      <c r="P311" s="167"/>
      <c r="Q311" s="167"/>
      <c r="R311" s="982"/>
    </row>
    <row r="312" spans="2:18" x14ac:dyDescent="0.2">
      <c r="B312" s="172">
        <f t="shared" si="117"/>
        <v>307</v>
      </c>
      <c r="C312" s="126"/>
      <c r="D312" s="127"/>
      <c r="E312" s="166" t="s">
        <v>675</v>
      </c>
      <c r="F312" s="143" t="s">
        <v>217</v>
      </c>
      <c r="G312" s="201" t="s">
        <v>911</v>
      </c>
      <c r="H312" s="492">
        <v>0</v>
      </c>
      <c r="I312" s="492">
        <v>1785</v>
      </c>
      <c r="J312" s="995">
        <v>0</v>
      </c>
      <c r="K312" s="338"/>
      <c r="L312" s="574"/>
      <c r="M312" s="574"/>
      <c r="N312" s="1037"/>
      <c r="O312" s="338"/>
      <c r="P312" s="575">
        <f t="shared" ref="P312" si="122">H312+L312</f>
        <v>0</v>
      </c>
      <c r="Q312" s="575">
        <f t="shared" ref="Q312" si="123">I312+M312</f>
        <v>1785</v>
      </c>
      <c r="R312" s="1001">
        <v>0</v>
      </c>
    </row>
    <row r="313" spans="2:18" x14ac:dyDescent="0.2">
      <c r="B313" s="172">
        <f t="shared" si="117"/>
        <v>308</v>
      </c>
      <c r="C313" s="126"/>
      <c r="D313" s="127"/>
      <c r="E313" s="166"/>
      <c r="F313" s="286"/>
      <c r="G313" s="201"/>
      <c r="H313" s="492"/>
      <c r="I313" s="492"/>
      <c r="J313" s="995"/>
      <c r="K313" s="338"/>
      <c r="L313" s="441"/>
      <c r="M313" s="441"/>
      <c r="N313" s="1036"/>
      <c r="O313" s="338"/>
      <c r="P313" s="167"/>
      <c r="Q313" s="167"/>
      <c r="R313" s="982"/>
    </row>
    <row r="314" spans="2:18" x14ac:dyDescent="0.2">
      <c r="B314" s="172">
        <f t="shared" si="117"/>
        <v>309</v>
      </c>
      <c r="C314" s="126"/>
      <c r="D314" s="127"/>
      <c r="E314" s="166"/>
      <c r="F314" s="286" t="s">
        <v>322</v>
      </c>
      <c r="G314" s="201" t="s">
        <v>790</v>
      </c>
      <c r="H314" s="492"/>
      <c r="I314" s="492"/>
      <c r="J314" s="995"/>
      <c r="K314" s="338"/>
      <c r="L314" s="400">
        <f>40000-6000+1240</f>
        <v>35240</v>
      </c>
      <c r="M314" s="400">
        <v>300</v>
      </c>
      <c r="N314" s="1035">
        <f t="shared" si="113"/>
        <v>0.85130533484676496</v>
      </c>
      <c r="O314" s="338"/>
      <c r="P314" s="167">
        <f>L314</f>
        <v>35240</v>
      </c>
      <c r="Q314" s="167">
        <f t="shared" ref="Q314" si="124">M314</f>
        <v>300</v>
      </c>
      <c r="R314" s="982">
        <f t="shared" si="108"/>
        <v>0.85130533484676496</v>
      </c>
    </row>
    <row r="315" spans="2:18" ht="15" x14ac:dyDescent="0.25">
      <c r="B315" s="172">
        <f t="shared" si="117"/>
        <v>310</v>
      </c>
      <c r="C315" s="126"/>
      <c r="D315" s="263" t="s">
        <v>173</v>
      </c>
      <c r="E315" s="147" t="s">
        <v>430</v>
      </c>
      <c r="F315" s="147" t="s">
        <v>374</v>
      </c>
      <c r="G315" s="238"/>
      <c r="H315" s="427">
        <f>H316+H326</f>
        <v>410648</v>
      </c>
      <c r="I315" s="427">
        <f>I316+I326+I339</f>
        <v>403582</v>
      </c>
      <c r="J315" s="965">
        <f t="shared" si="107"/>
        <v>98.279304903469637</v>
      </c>
      <c r="K315" s="341"/>
      <c r="L315" s="432"/>
      <c r="M315" s="432"/>
      <c r="N315" s="1035"/>
      <c r="O315" s="341"/>
      <c r="P315" s="331">
        <f t="shared" si="120"/>
        <v>410648</v>
      </c>
      <c r="Q315" s="331">
        <f t="shared" ref="Q315:Q381" si="125">I315+M315</f>
        <v>403582</v>
      </c>
      <c r="R315" s="982">
        <f t="shared" si="108"/>
        <v>98.279304903469637</v>
      </c>
    </row>
    <row r="316" spans="2:18" ht="14.25" x14ac:dyDescent="0.2">
      <c r="B316" s="172">
        <f t="shared" si="117"/>
        <v>311</v>
      </c>
      <c r="C316" s="74"/>
      <c r="D316" s="558"/>
      <c r="E316" s="565" t="s">
        <v>429</v>
      </c>
      <c r="F316" s="562" t="s">
        <v>687</v>
      </c>
      <c r="G316" s="561"/>
      <c r="H316" s="563">
        <f>H317+H318+H319+H325</f>
        <v>152257</v>
      </c>
      <c r="I316" s="563">
        <f>I317+I318+I319+I325</f>
        <v>149267</v>
      </c>
      <c r="J316" s="995">
        <f t="shared" si="107"/>
        <v>98.036215083707162</v>
      </c>
      <c r="K316" s="334"/>
      <c r="L316" s="560"/>
      <c r="M316" s="560"/>
      <c r="N316" s="1037"/>
      <c r="O316" s="334"/>
      <c r="P316" s="564">
        <f t="shared" si="120"/>
        <v>152257</v>
      </c>
      <c r="Q316" s="564">
        <f t="shared" si="125"/>
        <v>149267</v>
      </c>
      <c r="R316" s="1001">
        <f t="shared" si="108"/>
        <v>98.036215083707162</v>
      </c>
    </row>
    <row r="317" spans="2:18" ht="12" customHeight="1" x14ac:dyDescent="0.2">
      <c r="B317" s="172">
        <f t="shared" si="117"/>
        <v>312</v>
      </c>
      <c r="C317" s="126"/>
      <c r="D317" s="127"/>
      <c r="E317" s="127"/>
      <c r="F317" s="143" t="s">
        <v>211</v>
      </c>
      <c r="G317" s="201" t="s">
        <v>506</v>
      </c>
      <c r="H317" s="573">
        <f>76640+13970+2735+1341</f>
        <v>94686</v>
      </c>
      <c r="I317" s="573">
        <v>94686</v>
      </c>
      <c r="J317" s="965">
        <f t="shared" si="107"/>
        <v>100</v>
      </c>
      <c r="K317" s="338"/>
      <c r="L317" s="441"/>
      <c r="M317" s="441"/>
      <c r="N317" s="1036"/>
      <c r="O317" s="338"/>
      <c r="P317" s="167">
        <f t="shared" si="120"/>
        <v>94686</v>
      </c>
      <c r="Q317" s="167">
        <f t="shared" si="125"/>
        <v>94686</v>
      </c>
      <c r="R317" s="982">
        <f t="shared" si="108"/>
        <v>100</v>
      </c>
    </row>
    <row r="318" spans="2:18" ht="12" customHeight="1" x14ac:dyDescent="0.2">
      <c r="B318" s="172">
        <f t="shared" si="117"/>
        <v>313</v>
      </c>
      <c r="C318" s="126"/>
      <c r="D318" s="127"/>
      <c r="E318" s="127"/>
      <c r="F318" s="143" t="s">
        <v>212</v>
      </c>
      <c r="G318" s="201" t="s">
        <v>259</v>
      </c>
      <c r="H318" s="573">
        <f>24542+7126+1269+520</f>
        <v>33457</v>
      </c>
      <c r="I318" s="573">
        <v>33457</v>
      </c>
      <c r="J318" s="965">
        <f t="shared" si="107"/>
        <v>100</v>
      </c>
      <c r="K318" s="338"/>
      <c r="L318" s="441"/>
      <c r="M318" s="441"/>
      <c r="N318" s="1036"/>
      <c r="O318" s="338"/>
      <c r="P318" s="167">
        <f t="shared" si="120"/>
        <v>33457</v>
      </c>
      <c r="Q318" s="167">
        <f t="shared" si="125"/>
        <v>33457</v>
      </c>
      <c r="R318" s="982">
        <f t="shared" si="108"/>
        <v>100</v>
      </c>
    </row>
    <row r="319" spans="2:18" ht="12" customHeight="1" x14ac:dyDescent="0.2">
      <c r="B319" s="172">
        <f t="shared" si="117"/>
        <v>314</v>
      </c>
      <c r="C319" s="126"/>
      <c r="D319" s="127"/>
      <c r="E319" s="127"/>
      <c r="F319" s="143" t="s">
        <v>218</v>
      </c>
      <c r="G319" s="201" t="s">
        <v>341</v>
      </c>
      <c r="H319" s="573">
        <f>SUM(H320:H324)</f>
        <v>23897</v>
      </c>
      <c r="I319" s="573">
        <f>SUM(I320:I324)</f>
        <v>20871</v>
      </c>
      <c r="J319" s="965">
        <f t="shared" si="107"/>
        <v>87.337322676486579</v>
      </c>
      <c r="K319" s="338"/>
      <c r="L319" s="441"/>
      <c r="M319" s="441"/>
      <c r="N319" s="1036"/>
      <c r="O319" s="338"/>
      <c r="P319" s="167">
        <f t="shared" si="120"/>
        <v>23897</v>
      </c>
      <c r="Q319" s="167">
        <f t="shared" si="125"/>
        <v>20871</v>
      </c>
      <c r="R319" s="982">
        <f t="shared" si="108"/>
        <v>87.337322676486579</v>
      </c>
    </row>
    <row r="320" spans="2:18" ht="12" customHeight="1" x14ac:dyDescent="0.2">
      <c r="B320" s="172">
        <f t="shared" si="117"/>
        <v>315</v>
      </c>
      <c r="C320" s="126"/>
      <c r="D320" s="127"/>
      <c r="E320" s="127"/>
      <c r="F320" s="127" t="s">
        <v>199</v>
      </c>
      <c r="G320" s="193" t="s">
        <v>319</v>
      </c>
      <c r="H320" s="399">
        <f>8860-2945</f>
        <v>5915</v>
      </c>
      <c r="I320" s="399">
        <v>3818</v>
      </c>
      <c r="J320" s="966">
        <f t="shared" si="107"/>
        <v>64.547759932375314</v>
      </c>
      <c r="K320" s="338"/>
      <c r="L320" s="441"/>
      <c r="M320" s="441"/>
      <c r="N320" s="1036"/>
      <c r="O320" s="338"/>
      <c r="P320" s="168">
        <f t="shared" si="120"/>
        <v>5915</v>
      </c>
      <c r="Q320" s="168">
        <f t="shared" si="125"/>
        <v>3818</v>
      </c>
      <c r="R320" s="983">
        <f t="shared" si="108"/>
        <v>64.547759932375314</v>
      </c>
    </row>
    <row r="321" spans="1:18" ht="12" customHeight="1" x14ac:dyDescent="0.2">
      <c r="B321" s="172">
        <f t="shared" si="117"/>
        <v>316</v>
      </c>
      <c r="C321" s="126"/>
      <c r="D321" s="127"/>
      <c r="E321" s="127"/>
      <c r="F321" s="127" t="s">
        <v>200</v>
      </c>
      <c r="G321" s="193" t="s">
        <v>247</v>
      </c>
      <c r="H321" s="399">
        <f>3590+1390+3125</f>
        <v>8105</v>
      </c>
      <c r="I321" s="399">
        <v>7880</v>
      </c>
      <c r="J321" s="966">
        <f t="shared" si="107"/>
        <v>97.223935842072791</v>
      </c>
      <c r="K321" s="338"/>
      <c r="L321" s="441"/>
      <c r="M321" s="441"/>
      <c r="N321" s="1036"/>
      <c r="O321" s="342"/>
      <c r="P321" s="169">
        <f t="shared" si="120"/>
        <v>8105</v>
      </c>
      <c r="Q321" s="169">
        <f t="shared" si="125"/>
        <v>7880</v>
      </c>
      <c r="R321" s="986">
        <f t="shared" si="108"/>
        <v>97.223935842072791</v>
      </c>
    </row>
    <row r="322" spans="1:18" ht="12" customHeight="1" x14ac:dyDescent="0.2">
      <c r="B322" s="172">
        <f t="shared" si="117"/>
        <v>317</v>
      </c>
      <c r="C322" s="126"/>
      <c r="D322" s="127"/>
      <c r="E322" s="127"/>
      <c r="F322" s="127" t="s">
        <v>214</v>
      </c>
      <c r="G322" s="193" t="s">
        <v>261</v>
      </c>
      <c r="H322" s="436">
        <f>500+1390+554</f>
        <v>2444</v>
      </c>
      <c r="I322" s="436">
        <v>2277</v>
      </c>
      <c r="J322" s="978">
        <f t="shared" si="107"/>
        <v>93.166939443535185</v>
      </c>
      <c r="K322" s="339"/>
      <c r="L322" s="574"/>
      <c r="M322" s="574"/>
      <c r="N322" s="1037"/>
      <c r="O322" s="338"/>
      <c r="P322" s="169">
        <f t="shared" si="120"/>
        <v>2444</v>
      </c>
      <c r="Q322" s="169">
        <f t="shared" si="125"/>
        <v>2277</v>
      </c>
      <c r="R322" s="986">
        <f t="shared" si="108"/>
        <v>93.166939443535185</v>
      </c>
    </row>
    <row r="323" spans="1:18" ht="12" customHeight="1" x14ac:dyDescent="0.2">
      <c r="B323" s="172">
        <f t="shared" si="117"/>
        <v>318</v>
      </c>
      <c r="C323" s="126"/>
      <c r="D323" s="127"/>
      <c r="E323" s="127"/>
      <c r="F323" s="127" t="s">
        <v>215</v>
      </c>
      <c r="G323" s="193" t="s">
        <v>879</v>
      </c>
      <c r="H323" s="436">
        <v>6</v>
      </c>
      <c r="I323" s="436">
        <v>6</v>
      </c>
      <c r="J323" s="978">
        <f t="shared" si="107"/>
        <v>100</v>
      </c>
      <c r="K323" s="338"/>
      <c r="L323" s="441"/>
      <c r="M323" s="441"/>
      <c r="N323" s="1036"/>
      <c r="O323" s="338"/>
      <c r="P323" s="169">
        <f t="shared" si="120"/>
        <v>6</v>
      </c>
      <c r="Q323" s="169">
        <f t="shared" si="125"/>
        <v>6</v>
      </c>
      <c r="R323" s="986">
        <f t="shared" si="108"/>
        <v>100</v>
      </c>
    </row>
    <row r="324" spans="1:18" s="115" customFormat="1" ht="12" customHeight="1" x14ac:dyDescent="0.2">
      <c r="A324" s="243"/>
      <c r="B324" s="172">
        <f t="shared" si="117"/>
        <v>319</v>
      </c>
      <c r="C324" s="126"/>
      <c r="D324" s="127"/>
      <c r="E324" s="127"/>
      <c r="F324" s="127" t="s">
        <v>216</v>
      </c>
      <c r="G324" s="193" t="s">
        <v>248</v>
      </c>
      <c r="H324" s="399">
        <f>3790+3637</f>
        <v>7427</v>
      </c>
      <c r="I324" s="399">
        <v>6890</v>
      </c>
      <c r="J324" s="966">
        <f t="shared" si="107"/>
        <v>92.769624343611142</v>
      </c>
      <c r="K324" s="338"/>
      <c r="L324" s="441"/>
      <c r="M324" s="441"/>
      <c r="N324" s="1036"/>
      <c r="O324" s="338"/>
      <c r="P324" s="168">
        <f t="shared" si="120"/>
        <v>7427</v>
      </c>
      <c r="Q324" s="168">
        <f t="shared" si="125"/>
        <v>6890</v>
      </c>
      <c r="R324" s="983">
        <f t="shared" si="108"/>
        <v>92.769624343611142</v>
      </c>
    </row>
    <row r="325" spans="1:18" ht="12" customHeight="1" x14ac:dyDescent="0.2">
      <c r="B325" s="172">
        <f t="shared" si="117"/>
        <v>320</v>
      </c>
      <c r="C325" s="126"/>
      <c r="D325" s="127"/>
      <c r="E325" s="170"/>
      <c r="F325" s="143" t="s">
        <v>217</v>
      </c>
      <c r="G325" s="201" t="s">
        <v>372</v>
      </c>
      <c r="H325" s="445">
        <f>100+117</f>
        <v>217</v>
      </c>
      <c r="I325" s="445">
        <v>253</v>
      </c>
      <c r="J325" s="965">
        <f t="shared" si="107"/>
        <v>116.58986175115207</v>
      </c>
      <c r="K325" s="338"/>
      <c r="L325" s="441"/>
      <c r="M325" s="441"/>
      <c r="N325" s="1036"/>
      <c r="O325" s="338"/>
      <c r="P325" s="167">
        <f>H325+L325</f>
        <v>217</v>
      </c>
      <c r="Q325" s="167">
        <f t="shared" si="125"/>
        <v>253</v>
      </c>
      <c r="R325" s="982">
        <f t="shared" si="108"/>
        <v>116.58986175115207</v>
      </c>
    </row>
    <row r="326" spans="1:18" ht="14.25" x14ac:dyDescent="0.2">
      <c r="B326" s="172">
        <f t="shared" si="117"/>
        <v>321</v>
      </c>
      <c r="C326" s="126"/>
      <c r="D326" s="127"/>
      <c r="E326" s="565" t="s">
        <v>685</v>
      </c>
      <c r="F326" s="562" t="s">
        <v>686</v>
      </c>
      <c r="G326" s="641"/>
      <c r="H326" s="566">
        <f>H327+H328+H329+H337</f>
        <v>258391</v>
      </c>
      <c r="I326" s="566">
        <f>I327+I328+I329+I337</f>
        <v>253449</v>
      </c>
      <c r="J326" s="1028">
        <f t="shared" si="107"/>
        <v>98.087394684799392</v>
      </c>
      <c r="K326" s="338"/>
      <c r="L326" s="560"/>
      <c r="M326" s="560"/>
      <c r="N326" s="1037"/>
      <c r="O326" s="338"/>
      <c r="P326" s="564">
        <f t="shared" ref="P326:P349" si="126">H326+L326</f>
        <v>258391</v>
      </c>
      <c r="Q326" s="564">
        <f t="shared" si="125"/>
        <v>253449</v>
      </c>
      <c r="R326" s="1001">
        <f t="shared" si="108"/>
        <v>98.087394684799392</v>
      </c>
    </row>
    <row r="327" spans="1:18" x14ac:dyDescent="0.2">
      <c r="B327" s="172">
        <f t="shared" si="117"/>
        <v>322</v>
      </c>
      <c r="C327" s="126"/>
      <c r="D327" s="127"/>
      <c r="E327" s="166"/>
      <c r="F327" s="143" t="s">
        <v>211</v>
      </c>
      <c r="G327" s="201" t="s">
        <v>506</v>
      </c>
      <c r="H327" s="492">
        <f>105480+11184+6182+1341</f>
        <v>124187</v>
      </c>
      <c r="I327" s="492">
        <v>124012</v>
      </c>
      <c r="J327" s="995">
        <f t="shared" si="107"/>
        <v>99.85908347894707</v>
      </c>
      <c r="K327" s="338"/>
      <c r="L327" s="574"/>
      <c r="M327" s="574"/>
      <c r="N327" s="1037"/>
      <c r="O327" s="338"/>
      <c r="P327" s="575">
        <f t="shared" si="126"/>
        <v>124187</v>
      </c>
      <c r="Q327" s="575">
        <f t="shared" si="125"/>
        <v>124012</v>
      </c>
      <c r="R327" s="1001">
        <f t="shared" si="108"/>
        <v>99.85908347894707</v>
      </c>
    </row>
    <row r="328" spans="1:18" x14ac:dyDescent="0.2">
      <c r="B328" s="172">
        <f t="shared" si="117"/>
        <v>323</v>
      </c>
      <c r="C328" s="126"/>
      <c r="D328" s="127"/>
      <c r="E328" s="166"/>
      <c r="F328" s="143" t="s">
        <v>212</v>
      </c>
      <c r="G328" s="201" t="s">
        <v>259</v>
      </c>
      <c r="H328" s="492">
        <f>39108+1669+1939+520</f>
        <v>43236</v>
      </c>
      <c r="I328" s="492">
        <v>43238</v>
      </c>
      <c r="J328" s="995">
        <f t="shared" si="107"/>
        <v>100.00462577481728</v>
      </c>
      <c r="K328" s="338"/>
      <c r="L328" s="574"/>
      <c r="M328" s="574"/>
      <c r="N328" s="1037"/>
      <c r="O328" s="338"/>
      <c r="P328" s="575">
        <f t="shared" si="126"/>
        <v>43236</v>
      </c>
      <c r="Q328" s="575">
        <f t="shared" si="125"/>
        <v>43238</v>
      </c>
      <c r="R328" s="1001">
        <f t="shared" si="108"/>
        <v>100.00462577481728</v>
      </c>
    </row>
    <row r="329" spans="1:18" x14ac:dyDescent="0.2">
      <c r="B329" s="172">
        <f t="shared" si="117"/>
        <v>324</v>
      </c>
      <c r="C329" s="126"/>
      <c r="D329" s="127"/>
      <c r="E329" s="166"/>
      <c r="F329" s="143" t="s">
        <v>218</v>
      </c>
      <c r="G329" s="201" t="s">
        <v>341</v>
      </c>
      <c r="H329" s="573">
        <f>SUM(H331:H336)</f>
        <v>90785</v>
      </c>
      <c r="I329" s="573">
        <f>SUM(I330:I336)</f>
        <v>85985</v>
      </c>
      <c r="J329" s="965">
        <f t="shared" si="107"/>
        <v>94.712782948725007</v>
      </c>
      <c r="K329" s="338"/>
      <c r="L329" s="574"/>
      <c r="M329" s="574"/>
      <c r="N329" s="1037"/>
      <c r="O329" s="338"/>
      <c r="P329" s="575">
        <f t="shared" si="126"/>
        <v>90785</v>
      </c>
      <c r="Q329" s="575">
        <f t="shared" si="125"/>
        <v>85985</v>
      </c>
      <c r="R329" s="1001">
        <f t="shared" si="108"/>
        <v>94.712782948725007</v>
      </c>
    </row>
    <row r="330" spans="1:18" x14ac:dyDescent="0.2">
      <c r="B330" s="172">
        <f t="shared" si="117"/>
        <v>325</v>
      </c>
      <c r="C330" s="126"/>
      <c r="D330" s="127"/>
      <c r="E330" s="166"/>
      <c r="F330" s="127" t="s">
        <v>213</v>
      </c>
      <c r="G330" s="193" t="s">
        <v>255</v>
      </c>
      <c r="H330" s="399">
        <v>0</v>
      </c>
      <c r="I330" s="399">
        <v>86</v>
      </c>
      <c r="J330" s="966">
        <v>0</v>
      </c>
      <c r="K330" s="338"/>
      <c r="L330" s="441"/>
      <c r="M330" s="441"/>
      <c r="N330" s="1036"/>
      <c r="O330" s="338"/>
      <c r="P330" s="168">
        <f t="shared" si="126"/>
        <v>0</v>
      </c>
      <c r="Q330" s="168">
        <f t="shared" si="125"/>
        <v>86</v>
      </c>
      <c r="R330" s="983">
        <v>0</v>
      </c>
    </row>
    <row r="331" spans="1:18" x14ac:dyDescent="0.2">
      <c r="B331" s="172">
        <f t="shared" si="117"/>
        <v>326</v>
      </c>
      <c r="C331" s="126"/>
      <c r="D331" s="127"/>
      <c r="E331" s="166"/>
      <c r="F331" s="127" t="s">
        <v>199</v>
      </c>
      <c r="G331" s="193" t="s">
        <v>319</v>
      </c>
      <c r="H331" s="436">
        <f>76985-12000-13426</f>
        <v>51559</v>
      </c>
      <c r="I331" s="436">
        <v>49616</v>
      </c>
      <c r="J331" s="978">
        <f t="shared" si="107"/>
        <v>96.231501774665915</v>
      </c>
      <c r="K331" s="338"/>
      <c r="L331" s="574"/>
      <c r="M331" s="574"/>
      <c r="N331" s="1037"/>
      <c r="O331" s="338"/>
      <c r="P331" s="169">
        <f t="shared" si="126"/>
        <v>51559</v>
      </c>
      <c r="Q331" s="169">
        <f t="shared" si="125"/>
        <v>49616</v>
      </c>
      <c r="R331" s="986">
        <f t="shared" si="108"/>
        <v>96.231501774665915</v>
      </c>
    </row>
    <row r="332" spans="1:18" x14ac:dyDescent="0.2">
      <c r="B332" s="172">
        <f t="shared" si="117"/>
        <v>327</v>
      </c>
      <c r="C332" s="126"/>
      <c r="D332" s="127"/>
      <c r="E332" s="166"/>
      <c r="F332" s="127" t="s">
        <v>200</v>
      </c>
      <c r="G332" s="193" t="s">
        <v>247</v>
      </c>
      <c r="H332" s="436">
        <f>4350+1200+12000+6680</f>
        <v>24230</v>
      </c>
      <c r="I332" s="436">
        <v>21693</v>
      </c>
      <c r="J332" s="978">
        <f t="shared" si="107"/>
        <v>89.529508873297573</v>
      </c>
      <c r="K332" s="338"/>
      <c r="L332" s="574"/>
      <c r="M332" s="574"/>
      <c r="N332" s="1037"/>
      <c r="O332" s="338"/>
      <c r="P332" s="169">
        <f t="shared" si="126"/>
        <v>24230</v>
      </c>
      <c r="Q332" s="169">
        <f t="shared" si="125"/>
        <v>21693</v>
      </c>
      <c r="R332" s="986">
        <f t="shared" si="108"/>
        <v>89.529508873297573</v>
      </c>
    </row>
    <row r="333" spans="1:18" x14ac:dyDescent="0.2">
      <c r="B333" s="172">
        <f t="shared" si="117"/>
        <v>328</v>
      </c>
      <c r="C333" s="126"/>
      <c r="D333" s="127"/>
      <c r="E333" s="166"/>
      <c r="F333" s="127" t="s">
        <v>214</v>
      </c>
      <c r="G333" s="193" t="s">
        <v>261</v>
      </c>
      <c r="H333" s="436">
        <f>550+1300+1720</f>
        <v>3570</v>
      </c>
      <c r="I333" s="436">
        <v>3153</v>
      </c>
      <c r="J333" s="978">
        <f t="shared" si="107"/>
        <v>88.319327731092429</v>
      </c>
      <c r="K333" s="338"/>
      <c r="L333" s="574"/>
      <c r="M333" s="574"/>
      <c r="N333" s="1037"/>
      <c r="O333" s="338"/>
      <c r="P333" s="169">
        <f t="shared" si="126"/>
        <v>3570</v>
      </c>
      <c r="Q333" s="169">
        <f t="shared" si="125"/>
        <v>3153</v>
      </c>
      <c r="R333" s="986">
        <f t="shared" si="108"/>
        <v>88.319327731092429</v>
      </c>
    </row>
    <row r="334" spans="1:18" x14ac:dyDescent="0.2">
      <c r="B334" s="172">
        <f t="shared" si="117"/>
        <v>329</v>
      </c>
      <c r="C334" s="126"/>
      <c r="D334" s="127"/>
      <c r="E334" s="166"/>
      <c r="F334" s="127" t="s">
        <v>215</v>
      </c>
      <c r="G334" s="193" t="s">
        <v>635</v>
      </c>
      <c r="H334" s="436">
        <f>1650-332</f>
        <v>1318</v>
      </c>
      <c r="I334" s="436">
        <v>1317</v>
      </c>
      <c r="J334" s="978">
        <f t="shared" si="107"/>
        <v>99.924127465857353</v>
      </c>
      <c r="K334" s="338"/>
      <c r="L334" s="574"/>
      <c r="M334" s="574"/>
      <c r="N334" s="1037"/>
      <c r="O334" s="338"/>
      <c r="P334" s="169">
        <f t="shared" si="126"/>
        <v>1318</v>
      </c>
      <c r="Q334" s="169">
        <f t="shared" si="125"/>
        <v>1317</v>
      </c>
      <c r="R334" s="986">
        <f t="shared" si="108"/>
        <v>99.924127465857353</v>
      </c>
    </row>
    <row r="335" spans="1:18" x14ac:dyDescent="0.2">
      <c r="B335" s="172">
        <f t="shared" si="117"/>
        <v>330</v>
      </c>
      <c r="C335" s="126"/>
      <c r="D335" s="127"/>
      <c r="E335" s="166"/>
      <c r="F335" s="127" t="s">
        <v>216</v>
      </c>
      <c r="G335" s="193" t="s">
        <v>248</v>
      </c>
      <c r="H335" s="436">
        <f>5360+897+3440</f>
        <v>9697</v>
      </c>
      <c r="I335" s="436">
        <v>9709</v>
      </c>
      <c r="J335" s="978">
        <f t="shared" si="107"/>
        <v>100.12374961328246</v>
      </c>
      <c r="K335" s="338"/>
      <c r="L335" s="574"/>
      <c r="M335" s="574"/>
      <c r="N335" s="1037"/>
      <c r="O335" s="338"/>
      <c r="P335" s="169">
        <f t="shared" si="126"/>
        <v>9697</v>
      </c>
      <c r="Q335" s="169">
        <f t="shared" si="125"/>
        <v>9709</v>
      </c>
      <c r="R335" s="986">
        <f t="shared" si="108"/>
        <v>100.12374961328246</v>
      </c>
    </row>
    <row r="336" spans="1:18" x14ac:dyDescent="0.2">
      <c r="B336" s="172">
        <f t="shared" si="117"/>
        <v>331</v>
      </c>
      <c r="C336" s="126"/>
      <c r="D336" s="127"/>
      <c r="E336" s="166"/>
      <c r="F336" s="127" t="s">
        <v>218</v>
      </c>
      <c r="G336" s="193" t="s">
        <v>789</v>
      </c>
      <c r="H336" s="436">
        <v>411</v>
      </c>
      <c r="I336" s="436">
        <v>411</v>
      </c>
      <c r="J336" s="978">
        <f t="shared" si="107"/>
        <v>100</v>
      </c>
      <c r="K336" s="338"/>
      <c r="L336" s="574"/>
      <c r="M336" s="574"/>
      <c r="N336" s="1037"/>
      <c r="O336" s="338"/>
      <c r="P336" s="169">
        <f t="shared" si="126"/>
        <v>411</v>
      </c>
      <c r="Q336" s="169">
        <f t="shared" si="125"/>
        <v>411</v>
      </c>
      <c r="R336" s="986">
        <f t="shared" si="108"/>
        <v>100</v>
      </c>
    </row>
    <row r="337" spans="2:18" x14ac:dyDescent="0.2">
      <c r="B337" s="172">
        <f t="shared" si="117"/>
        <v>332</v>
      </c>
      <c r="C337" s="126"/>
      <c r="D337" s="127"/>
      <c r="E337" s="166"/>
      <c r="F337" s="286" t="s">
        <v>217</v>
      </c>
      <c r="G337" s="201" t="s">
        <v>372</v>
      </c>
      <c r="H337" s="492">
        <f>1700-1517</f>
        <v>183</v>
      </c>
      <c r="I337" s="492">
        <v>214</v>
      </c>
      <c r="J337" s="995">
        <f t="shared" si="107"/>
        <v>116.93989071038251</v>
      </c>
      <c r="K337" s="338"/>
      <c r="L337" s="574"/>
      <c r="M337" s="574"/>
      <c r="N337" s="1037"/>
      <c r="O337" s="338"/>
      <c r="P337" s="575">
        <f t="shared" si="126"/>
        <v>183</v>
      </c>
      <c r="Q337" s="575">
        <f t="shared" si="125"/>
        <v>214</v>
      </c>
      <c r="R337" s="1001">
        <f t="shared" si="108"/>
        <v>116.93989071038251</v>
      </c>
    </row>
    <row r="338" spans="2:18" x14ac:dyDescent="0.2">
      <c r="B338" s="172">
        <f t="shared" si="117"/>
        <v>333</v>
      </c>
      <c r="C338" s="126"/>
      <c r="D338" s="127"/>
      <c r="E338" s="166"/>
      <c r="F338" s="452"/>
      <c r="G338" s="201"/>
      <c r="H338" s="492"/>
      <c r="I338" s="492"/>
      <c r="J338" s="995"/>
      <c r="K338" s="338"/>
      <c r="L338" s="441"/>
      <c r="M338" s="441"/>
      <c r="N338" s="1036"/>
      <c r="O338" s="338"/>
      <c r="P338" s="167"/>
      <c r="Q338" s="167"/>
      <c r="R338" s="982"/>
    </row>
    <row r="339" spans="2:18" x14ac:dyDescent="0.2">
      <c r="B339" s="172">
        <f t="shared" si="117"/>
        <v>334</v>
      </c>
      <c r="C339" s="126"/>
      <c r="D339" s="127"/>
      <c r="E339" s="166" t="s">
        <v>675</v>
      </c>
      <c r="F339" s="143" t="s">
        <v>217</v>
      </c>
      <c r="G339" s="201" t="s">
        <v>911</v>
      </c>
      <c r="H339" s="492">
        <v>0</v>
      </c>
      <c r="I339" s="492">
        <v>866</v>
      </c>
      <c r="J339" s="995">
        <v>0</v>
      </c>
      <c r="K339" s="338"/>
      <c r="L339" s="574"/>
      <c r="M339" s="574"/>
      <c r="N339" s="1037"/>
      <c r="O339" s="338"/>
      <c r="P339" s="575">
        <f t="shared" ref="P339" si="127">H339+L339</f>
        <v>0</v>
      </c>
      <c r="Q339" s="575">
        <f t="shared" ref="Q339" si="128">I339+M339</f>
        <v>866</v>
      </c>
      <c r="R339" s="1001">
        <v>0</v>
      </c>
    </row>
    <row r="340" spans="2:18" ht="15" x14ac:dyDescent="0.25">
      <c r="B340" s="172">
        <f t="shared" si="117"/>
        <v>335</v>
      </c>
      <c r="C340" s="126"/>
      <c r="D340" s="263" t="s">
        <v>348</v>
      </c>
      <c r="E340" s="147" t="s">
        <v>430</v>
      </c>
      <c r="F340" s="147" t="s">
        <v>421</v>
      </c>
      <c r="G340" s="238"/>
      <c r="H340" s="427">
        <f>H341+H351</f>
        <v>695209</v>
      </c>
      <c r="I340" s="427">
        <f>I341+I351+I363</f>
        <v>687064</v>
      </c>
      <c r="J340" s="965">
        <f t="shared" ref="J340:J407" si="129">I340/H340*100</f>
        <v>98.828409873865269</v>
      </c>
      <c r="K340" s="341"/>
      <c r="L340" s="433"/>
      <c r="M340" s="433"/>
      <c r="N340" s="1036"/>
      <c r="O340" s="341"/>
      <c r="P340" s="331">
        <f t="shared" si="126"/>
        <v>695209</v>
      </c>
      <c r="Q340" s="331">
        <f t="shared" si="125"/>
        <v>687064</v>
      </c>
      <c r="R340" s="982">
        <f t="shared" ref="R340:R407" si="130">Q340/P340*100</f>
        <v>98.828409873865269</v>
      </c>
    </row>
    <row r="341" spans="2:18" ht="14.25" x14ac:dyDescent="0.2">
      <c r="B341" s="172">
        <f t="shared" si="117"/>
        <v>336</v>
      </c>
      <c r="C341" s="74"/>
      <c r="D341" s="558"/>
      <c r="E341" s="565" t="s">
        <v>429</v>
      </c>
      <c r="F341" s="562" t="s">
        <v>687</v>
      </c>
      <c r="G341" s="561"/>
      <c r="H341" s="563">
        <f>H342+H343+H344+H350</f>
        <v>320856</v>
      </c>
      <c r="I341" s="563">
        <f t="shared" ref="I341" si="131">I342+I343+I344+I350</f>
        <v>316362</v>
      </c>
      <c r="J341" s="995">
        <f t="shared" si="129"/>
        <v>98.599371680753976</v>
      </c>
      <c r="K341" s="334"/>
      <c r="L341" s="560"/>
      <c r="M341" s="560"/>
      <c r="N341" s="1037"/>
      <c r="O341" s="334"/>
      <c r="P341" s="564">
        <f t="shared" si="126"/>
        <v>320856</v>
      </c>
      <c r="Q341" s="564">
        <f t="shared" si="125"/>
        <v>316362</v>
      </c>
      <c r="R341" s="1001">
        <f t="shared" si="130"/>
        <v>98.599371680753976</v>
      </c>
    </row>
    <row r="342" spans="2:18" ht="12" customHeight="1" x14ac:dyDescent="0.2">
      <c r="B342" s="172">
        <f t="shared" si="117"/>
        <v>337</v>
      </c>
      <c r="C342" s="126"/>
      <c r="D342" s="127"/>
      <c r="E342" s="127"/>
      <c r="F342" s="143" t="s">
        <v>211</v>
      </c>
      <c r="G342" s="201" t="s">
        <v>506</v>
      </c>
      <c r="H342" s="573">
        <f>173418+15342+5379+1827</f>
        <v>195966</v>
      </c>
      <c r="I342" s="573">
        <v>191443</v>
      </c>
      <c r="J342" s="965">
        <f t="shared" si="129"/>
        <v>97.691946562158734</v>
      </c>
      <c r="K342" s="338"/>
      <c r="L342" s="441"/>
      <c r="M342" s="441"/>
      <c r="N342" s="1036"/>
      <c r="O342" s="338"/>
      <c r="P342" s="167">
        <f t="shared" si="126"/>
        <v>195966</v>
      </c>
      <c r="Q342" s="167">
        <f t="shared" si="125"/>
        <v>191443</v>
      </c>
      <c r="R342" s="982">
        <f t="shared" si="130"/>
        <v>97.691946562158734</v>
      </c>
    </row>
    <row r="343" spans="2:18" ht="12" customHeight="1" x14ac:dyDescent="0.2">
      <c r="B343" s="172">
        <f t="shared" si="117"/>
        <v>338</v>
      </c>
      <c r="C343" s="126"/>
      <c r="D343" s="127"/>
      <c r="E343" s="127"/>
      <c r="F343" s="143" t="s">
        <v>212</v>
      </c>
      <c r="G343" s="201" t="s">
        <v>259</v>
      </c>
      <c r="H343" s="573">
        <f>58156+5361+1813+653</f>
        <v>65983</v>
      </c>
      <c r="I343" s="573">
        <v>70059</v>
      </c>
      <c r="J343" s="965">
        <f t="shared" si="129"/>
        <v>106.17734871103164</v>
      </c>
      <c r="K343" s="338"/>
      <c r="L343" s="441"/>
      <c r="M343" s="441"/>
      <c r="N343" s="1036"/>
      <c r="O343" s="338"/>
      <c r="P343" s="167">
        <f t="shared" si="126"/>
        <v>65983</v>
      </c>
      <c r="Q343" s="167">
        <f t="shared" si="125"/>
        <v>70059</v>
      </c>
      <c r="R343" s="982">
        <f t="shared" si="130"/>
        <v>106.17734871103164</v>
      </c>
    </row>
    <row r="344" spans="2:18" ht="12" customHeight="1" x14ac:dyDescent="0.2">
      <c r="B344" s="172">
        <f t="shared" si="117"/>
        <v>339</v>
      </c>
      <c r="C344" s="126"/>
      <c r="D344" s="127"/>
      <c r="E344" s="127"/>
      <c r="F344" s="143" t="s">
        <v>218</v>
      </c>
      <c r="G344" s="201" t="s">
        <v>341</v>
      </c>
      <c r="H344" s="573">
        <f>SUM(H345:H349)</f>
        <v>56094</v>
      </c>
      <c r="I344" s="573">
        <f t="shared" ref="I344" si="132">SUM(I345:I349)</f>
        <v>51601</v>
      </c>
      <c r="J344" s="965">
        <f t="shared" si="129"/>
        <v>91.990230684208655</v>
      </c>
      <c r="K344" s="338"/>
      <c r="L344" s="441"/>
      <c r="M344" s="441"/>
      <c r="N344" s="1036"/>
      <c r="O344" s="338"/>
      <c r="P344" s="167">
        <f t="shared" si="126"/>
        <v>56094</v>
      </c>
      <c r="Q344" s="167">
        <f t="shared" si="125"/>
        <v>51601</v>
      </c>
      <c r="R344" s="982">
        <f t="shared" si="130"/>
        <v>91.990230684208655</v>
      </c>
    </row>
    <row r="345" spans="2:18" ht="12" customHeight="1" x14ac:dyDescent="0.2">
      <c r="B345" s="172">
        <f t="shared" si="117"/>
        <v>340</v>
      </c>
      <c r="C345" s="126"/>
      <c r="D345" s="127"/>
      <c r="E345" s="127"/>
      <c r="F345" s="127" t="s">
        <v>213</v>
      </c>
      <c r="G345" s="193" t="s">
        <v>255</v>
      </c>
      <c r="H345" s="399">
        <f>220-175</f>
        <v>45</v>
      </c>
      <c r="I345" s="399">
        <v>44</v>
      </c>
      <c r="J345" s="966">
        <f t="shared" si="129"/>
        <v>97.777777777777771</v>
      </c>
      <c r="K345" s="338"/>
      <c r="L345" s="441"/>
      <c r="M345" s="441"/>
      <c r="N345" s="1036"/>
      <c r="O345" s="338"/>
      <c r="P345" s="168">
        <f t="shared" si="126"/>
        <v>45</v>
      </c>
      <c r="Q345" s="168">
        <f t="shared" si="125"/>
        <v>44</v>
      </c>
      <c r="R345" s="983">
        <f t="shared" si="130"/>
        <v>97.777777777777771</v>
      </c>
    </row>
    <row r="346" spans="2:18" ht="12" customHeight="1" x14ac:dyDescent="0.2">
      <c r="B346" s="172">
        <f t="shared" si="117"/>
        <v>341</v>
      </c>
      <c r="C346" s="126"/>
      <c r="D346" s="127"/>
      <c r="E346" s="127"/>
      <c r="F346" s="127" t="s">
        <v>199</v>
      </c>
      <c r="G346" s="193" t="s">
        <v>319</v>
      </c>
      <c r="H346" s="399">
        <f>34320+1550-575</f>
        <v>35295</v>
      </c>
      <c r="I346" s="399">
        <v>33884</v>
      </c>
      <c r="J346" s="966">
        <f t="shared" si="129"/>
        <v>96.002266610001413</v>
      </c>
      <c r="K346" s="338"/>
      <c r="L346" s="441"/>
      <c r="M346" s="441"/>
      <c r="N346" s="1036"/>
      <c r="O346" s="338"/>
      <c r="P346" s="168">
        <f t="shared" si="126"/>
        <v>35295</v>
      </c>
      <c r="Q346" s="168">
        <f t="shared" si="125"/>
        <v>33884</v>
      </c>
      <c r="R346" s="983">
        <f t="shared" si="130"/>
        <v>96.002266610001413</v>
      </c>
    </row>
    <row r="347" spans="2:18" ht="12" customHeight="1" x14ac:dyDescent="0.2">
      <c r="B347" s="172">
        <f t="shared" si="117"/>
        <v>342</v>
      </c>
      <c r="C347" s="126"/>
      <c r="D347" s="127"/>
      <c r="E347" s="127"/>
      <c r="F347" s="127" t="s">
        <v>200</v>
      </c>
      <c r="G347" s="193" t="s">
        <v>247</v>
      </c>
      <c r="H347" s="399">
        <f>9366-471</f>
        <v>8895</v>
      </c>
      <c r="I347" s="399">
        <v>7288</v>
      </c>
      <c r="J347" s="966">
        <f t="shared" si="129"/>
        <v>81.9336706014615</v>
      </c>
      <c r="K347" s="338"/>
      <c r="L347" s="441"/>
      <c r="M347" s="441"/>
      <c r="N347" s="1036"/>
      <c r="O347" s="338"/>
      <c r="P347" s="168">
        <f t="shared" si="126"/>
        <v>8895</v>
      </c>
      <c r="Q347" s="168">
        <f t="shared" si="125"/>
        <v>7288</v>
      </c>
      <c r="R347" s="983">
        <f t="shared" si="130"/>
        <v>81.9336706014615</v>
      </c>
    </row>
    <row r="348" spans="2:18" ht="12" customHeight="1" x14ac:dyDescent="0.2">
      <c r="B348" s="172">
        <f t="shared" si="117"/>
        <v>343</v>
      </c>
      <c r="C348" s="126"/>
      <c r="D348" s="127"/>
      <c r="E348" s="127"/>
      <c r="F348" s="127" t="s">
        <v>214</v>
      </c>
      <c r="G348" s="193" t="s">
        <v>261</v>
      </c>
      <c r="H348" s="399">
        <f>2310+3178-1620</f>
        <v>3868</v>
      </c>
      <c r="I348" s="399">
        <v>3550</v>
      </c>
      <c r="J348" s="966">
        <f t="shared" si="129"/>
        <v>91.778697001034132</v>
      </c>
      <c r="K348" s="338"/>
      <c r="L348" s="441"/>
      <c r="M348" s="441"/>
      <c r="N348" s="1036"/>
      <c r="O348" s="338"/>
      <c r="P348" s="168">
        <f t="shared" si="126"/>
        <v>3868</v>
      </c>
      <c r="Q348" s="168">
        <f t="shared" si="125"/>
        <v>3550</v>
      </c>
      <c r="R348" s="983">
        <f t="shared" si="130"/>
        <v>91.778697001034132</v>
      </c>
    </row>
    <row r="349" spans="2:18" ht="12" customHeight="1" x14ac:dyDescent="0.2">
      <c r="B349" s="172">
        <f t="shared" si="117"/>
        <v>344</v>
      </c>
      <c r="C349" s="126"/>
      <c r="D349" s="127"/>
      <c r="E349" s="127"/>
      <c r="F349" s="127" t="s">
        <v>216</v>
      </c>
      <c r="G349" s="193" t="s">
        <v>248</v>
      </c>
      <c r="H349" s="399">
        <f>7403+2525-1937</f>
        <v>7991</v>
      </c>
      <c r="I349" s="399">
        <v>6835</v>
      </c>
      <c r="J349" s="966">
        <f t="shared" si="129"/>
        <v>85.533725441121263</v>
      </c>
      <c r="K349" s="338"/>
      <c r="L349" s="441"/>
      <c r="M349" s="441"/>
      <c r="N349" s="1036"/>
      <c r="O349" s="338"/>
      <c r="P349" s="168">
        <f t="shared" si="126"/>
        <v>7991</v>
      </c>
      <c r="Q349" s="168">
        <f t="shared" si="125"/>
        <v>6835</v>
      </c>
      <c r="R349" s="983">
        <f t="shared" si="130"/>
        <v>85.533725441121263</v>
      </c>
    </row>
    <row r="350" spans="2:18" ht="12" customHeight="1" x14ac:dyDescent="0.2">
      <c r="B350" s="172">
        <f t="shared" si="117"/>
        <v>345</v>
      </c>
      <c r="C350" s="126"/>
      <c r="D350" s="127"/>
      <c r="E350" s="127"/>
      <c r="F350" s="143" t="s">
        <v>217</v>
      </c>
      <c r="G350" s="201" t="s">
        <v>372</v>
      </c>
      <c r="H350" s="573">
        <v>2813</v>
      </c>
      <c r="I350" s="573">
        <v>3259</v>
      </c>
      <c r="J350" s="965">
        <f t="shared" si="129"/>
        <v>115.85495911837896</v>
      </c>
      <c r="K350" s="338"/>
      <c r="L350" s="441"/>
      <c r="M350" s="441"/>
      <c r="N350" s="1036"/>
      <c r="O350" s="338"/>
      <c r="P350" s="167">
        <f>H350+L350</f>
        <v>2813</v>
      </c>
      <c r="Q350" s="167">
        <f t="shared" si="125"/>
        <v>3259</v>
      </c>
      <c r="R350" s="982">
        <f t="shared" si="130"/>
        <v>115.85495911837896</v>
      </c>
    </row>
    <row r="351" spans="2:18" ht="14.25" x14ac:dyDescent="0.2">
      <c r="B351" s="172">
        <f t="shared" si="117"/>
        <v>346</v>
      </c>
      <c r="C351" s="126"/>
      <c r="D351" s="127"/>
      <c r="E351" s="565" t="s">
        <v>685</v>
      </c>
      <c r="F351" s="562" t="s">
        <v>686</v>
      </c>
      <c r="G351" s="641"/>
      <c r="H351" s="566">
        <f>H352+H353+H354+H361</f>
        <v>374353</v>
      </c>
      <c r="I351" s="566">
        <f t="shared" ref="I351" si="133">I352+I353+I354+I361</f>
        <v>370305</v>
      </c>
      <c r="J351" s="1028">
        <f t="shared" si="129"/>
        <v>98.918667674627955</v>
      </c>
      <c r="K351" s="338"/>
      <c r="L351" s="560"/>
      <c r="M351" s="560"/>
      <c r="N351" s="1037"/>
      <c r="O351" s="338"/>
      <c r="P351" s="564">
        <f t="shared" ref="P351:P373" si="134">H351+L351</f>
        <v>374353</v>
      </c>
      <c r="Q351" s="564">
        <f t="shared" si="125"/>
        <v>370305</v>
      </c>
      <c r="R351" s="1001">
        <f t="shared" si="130"/>
        <v>98.918667674627955</v>
      </c>
    </row>
    <row r="352" spans="2:18" x14ac:dyDescent="0.2">
      <c r="B352" s="172">
        <f t="shared" si="117"/>
        <v>347</v>
      </c>
      <c r="C352" s="126"/>
      <c r="D352" s="127"/>
      <c r="E352" s="166"/>
      <c r="F352" s="143" t="s">
        <v>211</v>
      </c>
      <c r="G352" s="201" t="s">
        <v>506</v>
      </c>
      <c r="H352" s="492">
        <f>215502+18744+235+1828</f>
        <v>236309</v>
      </c>
      <c r="I352" s="492">
        <v>236692</v>
      </c>
      <c r="J352" s="995">
        <f t="shared" si="129"/>
        <v>100.16207592601212</v>
      </c>
      <c r="K352" s="338"/>
      <c r="L352" s="574"/>
      <c r="M352" s="574"/>
      <c r="N352" s="1037"/>
      <c r="O352" s="338"/>
      <c r="P352" s="575">
        <f t="shared" si="134"/>
        <v>236309</v>
      </c>
      <c r="Q352" s="575">
        <f t="shared" si="125"/>
        <v>236692</v>
      </c>
      <c r="R352" s="1001">
        <f t="shared" si="130"/>
        <v>100.16207592601212</v>
      </c>
    </row>
    <row r="353" spans="2:18" x14ac:dyDescent="0.2">
      <c r="B353" s="172">
        <f t="shared" si="117"/>
        <v>348</v>
      </c>
      <c r="C353" s="126"/>
      <c r="D353" s="127"/>
      <c r="E353" s="166"/>
      <c r="F353" s="143" t="s">
        <v>212</v>
      </c>
      <c r="G353" s="201" t="s">
        <v>259</v>
      </c>
      <c r="H353" s="492">
        <f>72329+6553+654</f>
        <v>79536</v>
      </c>
      <c r="I353" s="492">
        <v>78540</v>
      </c>
      <c r="J353" s="995">
        <f t="shared" si="129"/>
        <v>98.747736873868448</v>
      </c>
      <c r="K353" s="338"/>
      <c r="L353" s="574"/>
      <c r="M353" s="574"/>
      <c r="N353" s="1037"/>
      <c r="O353" s="338"/>
      <c r="P353" s="575">
        <f t="shared" si="134"/>
        <v>79536</v>
      </c>
      <c r="Q353" s="575">
        <f t="shared" si="125"/>
        <v>78540</v>
      </c>
      <c r="R353" s="1001">
        <f t="shared" si="130"/>
        <v>98.747736873868448</v>
      </c>
    </row>
    <row r="354" spans="2:18" x14ac:dyDescent="0.2">
      <c r="B354" s="172">
        <f t="shared" si="117"/>
        <v>349</v>
      </c>
      <c r="C354" s="126"/>
      <c r="D354" s="127"/>
      <c r="E354" s="166"/>
      <c r="F354" s="143" t="s">
        <v>218</v>
      </c>
      <c r="G354" s="201" t="s">
        <v>341</v>
      </c>
      <c r="H354" s="573">
        <f>SUM(H355:H360)</f>
        <v>53644</v>
      </c>
      <c r="I354" s="573">
        <f t="shared" ref="I354" si="135">SUM(I355:I360)</f>
        <v>49597</v>
      </c>
      <c r="J354" s="965">
        <f t="shared" si="129"/>
        <v>92.455819849377377</v>
      </c>
      <c r="K354" s="338"/>
      <c r="L354" s="574"/>
      <c r="M354" s="574"/>
      <c r="N354" s="1037"/>
      <c r="O354" s="338"/>
      <c r="P354" s="575">
        <f t="shared" si="134"/>
        <v>53644</v>
      </c>
      <c r="Q354" s="575">
        <f t="shared" si="125"/>
        <v>49597</v>
      </c>
      <c r="R354" s="1001">
        <f t="shared" si="130"/>
        <v>92.455819849377377</v>
      </c>
    </row>
    <row r="355" spans="2:18" x14ac:dyDescent="0.2">
      <c r="B355" s="172">
        <f t="shared" si="117"/>
        <v>350</v>
      </c>
      <c r="C355" s="126"/>
      <c r="D355" s="127"/>
      <c r="E355" s="166"/>
      <c r="F355" s="127" t="s">
        <v>213</v>
      </c>
      <c r="G355" s="193" t="s">
        <v>255</v>
      </c>
      <c r="H355" s="436">
        <f>180-143</f>
        <v>37</v>
      </c>
      <c r="I355" s="436">
        <v>36</v>
      </c>
      <c r="J355" s="978">
        <f t="shared" si="129"/>
        <v>97.297297297297305</v>
      </c>
      <c r="K355" s="338"/>
      <c r="L355" s="574"/>
      <c r="M355" s="574"/>
      <c r="N355" s="1037"/>
      <c r="O355" s="338"/>
      <c r="P355" s="169">
        <f t="shared" si="134"/>
        <v>37</v>
      </c>
      <c r="Q355" s="169">
        <f t="shared" si="125"/>
        <v>36</v>
      </c>
      <c r="R355" s="986">
        <f t="shared" si="130"/>
        <v>97.297297297297305</v>
      </c>
    </row>
    <row r="356" spans="2:18" x14ac:dyDescent="0.2">
      <c r="B356" s="172">
        <f t="shared" si="117"/>
        <v>351</v>
      </c>
      <c r="C356" s="126"/>
      <c r="D356" s="127"/>
      <c r="E356" s="166"/>
      <c r="F356" s="127" t="s">
        <v>199</v>
      </c>
      <c r="G356" s="193" t="s">
        <v>319</v>
      </c>
      <c r="H356" s="436">
        <f>28080+2177-653</f>
        <v>29604</v>
      </c>
      <c r="I356" s="436">
        <v>26991</v>
      </c>
      <c r="J356" s="978">
        <f t="shared" si="129"/>
        <v>91.173490068909601</v>
      </c>
      <c r="K356" s="338"/>
      <c r="L356" s="574"/>
      <c r="M356" s="574"/>
      <c r="N356" s="1037"/>
      <c r="O356" s="338"/>
      <c r="P356" s="169">
        <f t="shared" si="134"/>
        <v>29604</v>
      </c>
      <c r="Q356" s="169">
        <f t="shared" si="125"/>
        <v>26991</v>
      </c>
      <c r="R356" s="986">
        <f t="shared" si="130"/>
        <v>91.173490068909601</v>
      </c>
    </row>
    <row r="357" spans="2:18" x14ac:dyDescent="0.2">
      <c r="B357" s="172">
        <f t="shared" si="117"/>
        <v>352</v>
      </c>
      <c r="C357" s="126"/>
      <c r="D357" s="127"/>
      <c r="E357" s="166"/>
      <c r="F357" s="127" t="s">
        <v>200</v>
      </c>
      <c r="G357" s="193" t="s">
        <v>247</v>
      </c>
      <c r="H357" s="436">
        <f>7664-568</f>
        <v>7096</v>
      </c>
      <c r="I357" s="436">
        <v>6121</v>
      </c>
      <c r="J357" s="978">
        <f t="shared" si="129"/>
        <v>86.259864712514087</v>
      </c>
      <c r="K357" s="338"/>
      <c r="L357" s="574"/>
      <c r="M357" s="574"/>
      <c r="N357" s="1037"/>
      <c r="O357" s="338"/>
      <c r="P357" s="169">
        <f t="shared" si="134"/>
        <v>7096</v>
      </c>
      <c r="Q357" s="169">
        <f t="shared" si="125"/>
        <v>6121</v>
      </c>
      <c r="R357" s="986">
        <f t="shared" si="130"/>
        <v>86.259864712514087</v>
      </c>
    </row>
    <row r="358" spans="2:18" x14ac:dyDescent="0.2">
      <c r="B358" s="172">
        <f t="shared" si="117"/>
        <v>353</v>
      </c>
      <c r="C358" s="126"/>
      <c r="D358" s="127"/>
      <c r="E358" s="166"/>
      <c r="F358" s="127" t="s">
        <v>214</v>
      </c>
      <c r="G358" s="193" t="s">
        <v>261</v>
      </c>
      <c r="H358" s="436">
        <f>2490+1822-1325</f>
        <v>2987</v>
      </c>
      <c r="I358" s="436">
        <v>2987</v>
      </c>
      <c r="J358" s="978">
        <f t="shared" si="129"/>
        <v>100</v>
      </c>
      <c r="K358" s="338"/>
      <c r="L358" s="574"/>
      <c r="M358" s="574"/>
      <c r="N358" s="1037"/>
      <c r="O358" s="338"/>
      <c r="P358" s="169">
        <f t="shared" si="134"/>
        <v>2987</v>
      </c>
      <c r="Q358" s="169">
        <f t="shared" si="125"/>
        <v>2987</v>
      </c>
      <c r="R358" s="986">
        <f t="shared" si="130"/>
        <v>100</v>
      </c>
    </row>
    <row r="359" spans="2:18" x14ac:dyDescent="0.2">
      <c r="B359" s="172">
        <f t="shared" si="117"/>
        <v>354</v>
      </c>
      <c r="C359" s="126"/>
      <c r="D359" s="127"/>
      <c r="E359" s="166"/>
      <c r="F359" s="127" t="s">
        <v>216</v>
      </c>
      <c r="G359" s="193" t="s">
        <v>248</v>
      </c>
      <c r="H359" s="436">
        <f>7552+1937-1124</f>
        <v>8365</v>
      </c>
      <c r="I359" s="436">
        <v>7907</v>
      </c>
      <c r="J359" s="978">
        <f t="shared" si="129"/>
        <v>94.524805738194857</v>
      </c>
      <c r="K359" s="338"/>
      <c r="L359" s="574"/>
      <c r="M359" s="574"/>
      <c r="N359" s="1037"/>
      <c r="O359" s="338"/>
      <c r="P359" s="169">
        <f t="shared" si="134"/>
        <v>8365</v>
      </c>
      <c r="Q359" s="169">
        <f t="shared" si="125"/>
        <v>7907</v>
      </c>
      <c r="R359" s="986">
        <f t="shared" si="130"/>
        <v>94.524805738194857</v>
      </c>
    </row>
    <row r="360" spans="2:18" x14ac:dyDescent="0.2">
      <c r="B360" s="172">
        <f t="shared" si="117"/>
        <v>355</v>
      </c>
      <c r="C360" s="126"/>
      <c r="D360" s="127"/>
      <c r="E360" s="166"/>
      <c r="F360" s="127" t="s">
        <v>218</v>
      </c>
      <c r="G360" s="193" t="s">
        <v>789</v>
      </c>
      <c r="H360" s="436">
        <v>5555</v>
      </c>
      <c r="I360" s="436">
        <v>5555</v>
      </c>
      <c r="J360" s="978">
        <f t="shared" si="129"/>
        <v>100</v>
      </c>
      <c r="K360" s="338"/>
      <c r="L360" s="574"/>
      <c r="M360" s="574"/>
      <c r="N360" s="1037"/>
      <c r="O360" s="338"/>
      <c r="P360" s="169">
        <f t="shared" si="134"/>
        <v>5555</v>
      </c>
      <c r="Q360" s="169">
        <f t="shared" si="125"/>
        <v>5555</v>
      </c>
      <c r="R360" s="986">
        <f t="shared" si="130"/>
        <v>100</v>
      </c>
    </row>
    <row r="361" spans="2:18" x14ac:dyDescent="0.2">
      <c r="B361" s="172">
        <f t="shared" si="117"/>
        <v>356</v>
      </c>
      <c r="C361" s="126"/>
      <c r="D361" s="127"/>
      <c r="E361" s="166"/>
      <c r="F361" s="286" t="s">
        <v>217</v>
      </c>
      <c r="G361" s="201" t="s">
        <v>372</v>
      </c>
      <c r="H361" s="492">
        <f>3437+1427</f>
        <v>4864</v>
      </c>
      <c r="I361" s="492">
        <v>5476</v>
      </c>
      <c r="J361" s="995">
        <f t="shared" si="129"/>
        <v>112.58223684210526</v>
      </c>
      <c r="K361" s="338"/>
      <c r="L361" s="574"/>
      <c r="M361" s="574"/>
      <c r="N361" s="1037"/>
      <c r="O361" s="338"/>
      <c r="P361" s="575">
        <f t="shared" si="134"/>
        <v>4864</v>
      </c>
      <c r="Q361" s="575">
        <f t="shared" si="125"/>
        <v>5476</v>
      </c>
      <c r="R361" s="1001">
        <f t="shared" si="130"/>
        <v>112.58223684210526</v>
      </c>
    </row>
    <row r="362" spans="2:18" x14ac:dyDescent="0.2">
      <c r="B362" s="172">
        <f t="shared" ref="B362:B365" si="136">B361+1</f>
        <v>357</v>
      </c>
      <c r="C362" s="126"/>
      <c r="D362" s="127"/>
      <c r="E362" s="166"/>
      <c r="F362" s="286"/>
      <c r="G362" s="201"/>
      <c r="H362" s="492"/>
      <c r="I362" s="492"/>
      <c r="J362" s="995"/>
      <c r="K362" s="338"/>
      <c r="L362" s="441"/>
      <c r="M362" s="441"/>
      <c r="N362" s="1036"/>
      <c r="O362" s="338"/>
      <c r="P362" s="167"/>
      <c r="Q362" s="167"/>
      <c r="R362" s="982"/>
    </row>
    <row r="363" spans="2:18" x14ac:dyDescent="0.2">
      <c r="B363" s="172">
        <f t="shared" si="136"/>
        <v>358</v>
      </c>
      <c r="C363" s="126"/>
      <c r="D363" s="127"/>
      <c r="E363" s="166" t="s">
        <v>675</v>
      </c>
      <c r="F363" s="143" t="s">
        <v>217</v>
      </c>
      <c r="G363" s="201" t="s">
        <v>911</v>
      </c>
      <c r="H363" s="492">
        <v>0</v>
      </c>
      <c r="I363" s="492">
        <v>397</v>
      </c>
      <c r="J363" s="995">
        <v>0</v>
      </c>
      <c r="K363" s="338"/>
      <c r="L363" s="574"/>
      <c r="M363" s="574"/>
      <c r="N363" s="1037"/>
      <c r="O363" s="338"/>
      <c r="P363" s="575">
        <f t="shared" ref="P363" si="137">H363+L363</f>
        <v>0</v>
      </c>
      <c r="Q363" s="575">
        <f t="shared" ref="Q363" si="138">I363+M363</f>
        <v>397</v>
      </c>
      <c r="R363" s="1001">
        <v>0</v>
      </c>
    </row>
    <row r="364" spans="2:18" ht="15" x14ac:dyDescent="0.25">
      <c r="B364" s="172">
        <f t="shared" si="136"/>
        <v>359</v>
      </c>
      <c r="C364" s="126"/>
      <c r="D364" s="263" t="s">
        <v>350</v>
      </c>
      <c r="E364" s="147" t="s">
        <v>430</v>
      </c>
      <c r="F364" s="147" t="s">
        <v>375</v>
      </c>
      <c r="G364" s="238"/>
      <c r="H364" s="427">
        <f>H365+H375</f>
        <v>376346</v>
      </c>
      <c r="I364" s="427">
        <f>I365+I375+I385</f>
        <v>377190</v>
      </c>
      <c r="J364" s="965">
        <f t="shared" si="129"/>
        <v>100.22426171661185</v>
      </c>
      <c r="K364" s="341"/>
      <c r="L364" s="432"/>
      <c r="M364" s="432"/>
      <c r="N364" s="1035"/>
      <c r="O364" s="341"/>
      <c r="P364" s="331">
        <f t="shared" si="134"/>
        <v>376346</v>
      </c>
      <c r="Q364" s="331">
        <f t="shared" si="125"/>
        <v>377190</v>
      </c>
      <c r="R364" s="982">
        <f t="shared" si="130"/>
        <v>100.22426171661185</v>
      </c>
    </row>
    <row r="365" spans="2:18" ht="14.25" x14ac:dyDescent="0.2">
      <c r="B365" s="172">
        <f t="shared" si="136"/>
        <v>360</v>
      </c>
      <c r="C365" s="74"/>
      <c r="D365" s="558"/>
      <c r="E365" s="565" t="s">
        <v>429</v>
      </c>
      <c r="F365" s="562" t="s">
        <v>687</v>
      </c>
      <c r="G365" s="561"/>
      <c r="H365" s="563">
        <f>H366+H367+H368+H374</f>
        <v>140497</v>
      </c>
      <c r="I365" s="563">
        <f t="shared" ref="I365" si="139">I366+I367+I368+I374</f>
        <v>140497</v>
      </c>
      <c r="J365" s="995">
        <f t="shared" si="129"/>
        <v>100</v>
      </c>
      <c r="K365" s="334"/>
      <c r="L365" s="560"/>
      <c r="M365" s="560"/>
      <c r="N365" s="1037"/>
      <c r="O365" s="334"/>
      <c r="P365" s="564">
        <f t="shared" si="134"/>
        <v>140497</v>
      </c>
      <c r="Q365" s="564">
        <f t="shared" si="125"/>
        <v>140497</v>
      </c>
      <c r="R365" s="1001">
        <f t="shared" si="130"/>
        <v>100</v>
      </c>
    </row>
    <row r="366" spans="2:18" ht="12" customHeight="1" x14ac:dyDescent="0.2">
      <c r="B366" s="172">
        <f t="shared" ref="B366:B426" si="140">B365+1</f>
        <v>361</v>
      </c>
      <c r="C366" s="126"/>
      <c r="D366" s="127"/>
      <c r="E366" s="127"/>
      <c r="F366" s="143" t="s">
        <v>211</v>
      </c>
      <c r="G366" s="201" t="s">
        <v>506</v>
      </c>
      <c r="H366" s="573">
        <f>83784+713-345+1142</f>
        <v>85294</v>
      </c>
      <c r="I366" s="573">
        <v>83886</v>
      </c>
      <c r="J366" s="965">
        <f t="shared" si="129"/>
        <v>98.349239102398769</v>
      </c>
      <c r="K366" s="338"/>
      <c r="L366" s="441"/>
      <c r="M366" s="441"/>
      <c r="N366" s="1036"/>
      <c r="O366" s="338"/>
      <c r="P366" s="167">
        <f t="shared" si="134"/>
        <v>85294</v>
      </c>
      <c r="Q366" s="167">
        <f t="shared" si="125"/>
        <v>83886</v>
      </c>
      <c r="R366" s="982">
        <f t="shared" si="130"/>
        <v>98.349239102398769</v>
      </c>
    </row>
    <row r="367" spans="2:18" ht="12" customHeight="1" x14ac:dyDescent="0.2">
      <c r="B367" s="172">
        <f t="shared" si="140"/>
        <v>362</v>
      </c>
      <c r="C367" s="126"/>
      <c r="D367" s="127"/>
      <c r="E367" s="127"/>
      <c r="F367" s="143" t="s">
        <v>212</v>
      </c>
      <c r="G367" s="201" t="s">
        <v>259</v>
      </c>
      <c r="H367" s="573">
        <f>29278+248-121+408</f>
        <v>29813</v>
      </c>
      <c r="I367" s="573">
        <v>31420</v>
      </c>
      <c r="J367" s="965">
        <f t="shared" si="129"/>
        <v>105.39026599134607</v>
      </c>
      <c r="K367" s="338"/>
      <c r="L367" s="441"/>
      <c r="M367" s="441"/>
      <c r="N367" s="1036"/>
      <c r="O367" s="338"/>
      <c r="P367" s="167">
        <f t="shared" si="134"/>
        <v>29813</v>
      </c>
      <c r="Q367" s="167">
        <f t="shared" si="125"/>
        <v>31420</v>
      </c>
      <c r="R367" s="982">
        <f t="shared" si="130"/>
        <v>105.39026599134607</v>
      </c>
    </row>
    <row r="368" spans="2:18" ht="12" customHeight="1" x14ac:dyDescent="0.2">
      <c r="B368" s="172">
        <f t="shared" si="140"/>
        <v>363</v>
      </c>
      <c r="C368" s="126"/>
      <c r="D368" s="127"/>
      <c r="E368" s="127"/>
      <c r="F368" s="143" t="s">
        <v>218</v>
      </c>
      <c r="G368" s="201" t="s">
        <v>341</v>
      </c>
      <c r="H368" s="573">
        <f>SUM(H369:H373)</f>
        <v>24720</v>
      </c>
      <c r="I368" s="573">
        <f t="shared" ref="I368" si="141">SUM(I369:I373)</f>
        <v>24521</v>
      </c>
      <c r="J368" s="965">
        <f t="shared" si="129"/>
        <v>99.194983818770226</v>
      </c>
      <c r="K368" s="338"/>
      <c r="L368" s="441"/>
      <c r="M368" s="441"/>
      <c r="N368" s="1036"/>
      <c r="O368" s="338"/>
      <c r="P368" s="167">
        <f t="shared" si="134"/>
        <v>24720</v>
      </c>
      <c r="Q368" s="167">
        <f t="shared" si="125"/>
        <v>24521</v>
      </c>
      <c r="R368" s="982">
        <f t="shared" si="130"/>
        <v>99.194983818770226</v>
      </c>
    </row>
    <row r="369" spans="1:18" ht="12" customHeight="1" x14ac:dyDescent="0.2">
      <c r="B369" s="172">
        <f t="shared" si="140"/>
        <v>364</v>
      </c>
      <c r="C369" s="126"/>
      <c r="D369" s="127"/>
      <c r="E369" s="127"/>
      <c r="F369" s="127" t="s">
        <v>213</v>
      </c>
      <c r="G369" s="193" t="s">
        <v>255</v>
      </c>
      <c r="H369" s="399">
        <f>15+12</f>
        <v>27</v>
      </c>
      <c r="I369" s="399">
        <v>27</v>
      </c>
      <c r="J369" s="966">
        <f t="shared" si="129"/>
        <v>100</v>
      </c>
      <c r="K369" s="338"/>
      <c r="L369" s="441"/>
      <c r="M369" s="441"/>
      <c r="N369" s="1036"/>
      <c r="O369" s="338"/>
      <c r="P369" s="168">
        <f t="shared" si="134"/>
        <v>27</v>
      </c>
      <c r="Q369" s="168">
        <f t="shared" si="125"/>
        <v>27</v>
      </c>
      <c r="R369" s="983">
        <f t="shared" si="130"/>
        <v>100</v>
      </c>
    </row>
    <row r="370" spans="1:18" ht="12" customHeight="1" x14ac:dyDescent="0.2">
      <c r="B370" s="172">
        <f t="shared" si="140"/>
        <v>365</v>
      </c>
      <c r="C370" s="126"/>
      <c r="D370" s="127"/>
      <c r="E370" s="127"/>
      <c r="F370" s="127" t="s">
        <v>199</v>
      </c>
      <c r="G370" s="193" t="s">
        <v>319</v>
      </c>
      <c r="H370" s="399">
        <f>22480-2876-1300</f>
        <v>18304</v>
      </c>
      <c r="I370" s="399">
        <v>18092</v>
      </c>
      <c r="J370" s="966">
        <f t="shared" si="129"/>
        <v>98.841783216783213</v>
      </c>
      <c r="K370" s="338"/>
      <c r="L370" s="441"/>
      <c r="M370" s="441"/>
      <c r="N370" s="1036"/>
      <c r="O370" s="338"/>
      <c r="P370" s="168">
        <f t="shared" si="134"/>
        <v>18304</v>
      </c>
      <c r="Q370" s="168">
        <f t="shared" si="125"/>
        <v>18092</v>
      </c>
      <c r="R370" s="983">
        <f t="shared" si="130"/>
        <v>98.841783216783213</v>
      </c>
    </row>
    <row r="371" spans="1:18" ht="12" customHeight="1" x14ac:dyDescent="0.2">
      <c r="B371" s="172">
        <f t="shared" si="140"/>
        <v>366</v>
      </c>
      <c r="C371" s="126"/>
      <c r="D371" s="127"/>
      <c r="E371" s="127"/>
      <c r="F371" s="127" t="s">
        <v>200</v>
      </c>
      <c r="G371" s="193" t="s">
        <v>247</v>
      </c>
      <c r="H371" s="399">
        <f>2130-575</f>
        <v>1555</v>
      </c>
      <c r="I371" s="399">
        <v>1555</v>
      </c>
      <c r="J371" s="966">
        <f t="shared" si="129"/>
        <v>100</v>
      </c>
      <c r="K371" s="338"/>
      <c r="L371" s="441"/>
      <c r="M371" s="441"/>
      <c r="N371" s="1036"/>
      <c r="O371" s="338"/>
      <c r="P371" s="168">
        <f t="shared" si="134"/>
        <v>1555</v>
      </c>
      <c r="Q371" s="168">
        <f t="shared" si="125"/>
        <v>1555</v>
      </c>
      <c r="R371" s="983">
        <f t="shared" si="130"/>
        <v>100</v>
      </c>
    </row>
    <row r="372" spans="1:18" ht="12" customHeight="1" x14ac:dyDescent="0.2">
      <c r="B372" s="172">
        <f t="shared" si="140"/>
        <v>367</v>
      </c>
      <c r="C372" s="126"/>
      <c r="D372" s="127"/>
      <c r="E372" s="127"/>
      <c r="F372" s="127" t="s">
        <v>214</v>
      </c>
      <c r="G372" s="193" t="s">
        <v>261</v>
      </c>
      <c r="H372" s="436">
        <f>555-282</f>
        <v>273</v>
      </c>
      <c r="I372" s="436">
        <v>273</v>
      </c>
      <c r="J372" s="978">
        <f t="shared" si="129"/>
        <v>100</v>
      </c>
      <c r="K372" s="343"/>
      <c r="L372" s="441"/>
      <c r="M372" s="441"/>
      <c r="N372" s="1036"/>
      <c r="O372" s="343"/>
      <c r="P372" s="168">
        <f t="shared" si="134"/>
        <v>273</v>
      </c>
      <c r="Q372" s="168">
        <f t="shared" si="125"/>
        <v>273</v>
      </c>
      <c r="R372" s="983">
        <f t="shared" si="130"/>
        <v>100</v>
      </c>
    </row>
    <row r="373" spans="1:18" s="115" customFormat="1" ht="12" customHeight="1" x14ac:dyDescent="0.2">
      <c r="A373" s="243"/>
      <c r="B373" s="172">
        <f t="shared" si="140"/>
        <v>368</v>
      </c>
      <c r="C373" s="126"/>
      <c r="D373" s="127"/>
      <c r="E373" s="127"/>
      <c r="F373" s="127" t="s">
        <v>216</v>
      </c>
      <c r="G373" s="193" t="s">
        <v>248</v>
      </c>
      <c r="H373" s="399">
        <v>4561</v>
      </c>
      <c r="I373" s="399">
        <v>4574</v>
      </c>
      <c r="J373" s="966">
        <f t="shared" si="129"/>
        <v>100.28502521376892</v>
      </c>
      <c r="K373" s="338"/>
      <c r="L373" s="441"/>
      <c r="M373" s="441"/>
      <c r="N373" s="1036"/>
      <c r="O373" s="338"/>
      <c r="P373" s="168">
        <f t="shared" si="134"/>
        <v>4561</v>
      </c>
      <c r="Q373" s="168">
        <f t="shared" si="125"/>
        <v>4574</v>
      </c>
      <c r="R373" s="983">
        <f t="shared" si="130"/>
        <v>100.28502521376892</v>
      </c>
    </row>
    <row r="374" spans="1:18" ht="12" customHeight="1" x14ac:dyDescent="0.2">
      <c r="B374" s="172">
        <f t="shared" si="140"/>
        <v>369</v>
      </c>
      <c r="C374" s="131"/>
      <c r="D374" s="131"/>
      <c r="E374" s="292"/>
      <c r="F374" s="286" t="s">
        <v>217</v>
      </c>
      <c r="G374" s="201" t="s">
        <v>372</v>
      </c>
      <c r="H374" s="573">
        <f>40+120+510</f>
        <v>670</v>
      </c>
      <c r="I374" s="573">
        <v>670</v>
      </c>
      <c r="J374" s="965">
        <f t="shared" si="129"/>
        <v>100</v>
      </c>
      <c r="K374" s="339"/>
      <c r="L374" s="574"/>
      <c r="M374" s="574"/>
      <c r="N374" s="1037"/>
      <c r="O374" s="339"/>
      <c r="P374" s="575">
        <f>H374+L374</f>
        <v>670</v>
      </c>
      <c r="Q374" s="575">
        <f t="shared" si="125"/>
        <v>670</v>
      </c>
      <c r="R374" s="1001">
        <f t="shared" si="130"/>
        <v>100</v>
      </c>
    </row>
    <row r="375" spans="1:18" ht="14.25" x14ac:dyDescent="0.2">
      <c r="B375" s="172">
        <f t="shared" si="140"/>
        <v>370</v>
      </c>
      <c r="C375" s="126"/>
      <c r="D375" s="127"/>
      <c r="E375" s="565" t="s">
        <v>685</v>
      </c>
      <c r="F375" s="562" t="s">
        <v>686</v>
      </c>
      <c r="G375" s="641"/>
      <c r="H375" s="566">
        <f>H376+H377+H378</f>
        <v>235849</v>
      </c>
      <c r="I375" s="566">
        <f>I376+I377+I378</f>
        <v>235480</v>
      </c>
      <c r="J375" s="1028">
        <f t="shared" si="129"/>
        <v>99.843543962450553</v>
      </c>
      <c r="K375" s="338"/>
      <c r="L375" s="560"/>
      <c r="M375" s="560"/>
      <c r="N375" s="1037"/>
      <c r="O375" s="338"/>
      <c r="P375" s="564">
        <f t="shared" ref="P375:P387" si="142">H375+L375</f>
        <v>235849</v>
      </c>
      <c r="Q375" s="564">
        <f t="shared" si="125"/>
        <v>235480</v>
      </c>
      <c r="R375" s="1001">
        <f t="shared" si="130"/>
        <v>99.843543962450553</v>
      </c>
    </row>
    <row r="376" spans="1:18" x14ac:dyDescent="0.2">
      <c r="B376" s="172">
        <f t="shared" si="140"/>
        <v>371</v>
      </c>
      <c r="C376" s="126"/>
      <c r="D376" s="127"/>
      <c r="E376" s="166"/>
      <c r="F376" s="143" t="s">
        <v>211</v>
      </c>
      <c r="G376" s="201" t="s">
        <v>506</v>
      </c>
      <c r="H376" s="492">
        <f>124326+4445+1425+610+2950+1144</f>
        <v>134900</v>
      </c>
      <c r="I376" s="492">
        <v>135241</v>
      </c>
      <c r="J376" s="995">
        <f t="shared" si="129"/>
        <v>100.25277983691623</v>
      </c>
      <c r="K376" s="338"/>
      <c r="L376" s="574"/>
      <c r="M376" s="574"/>
      <c r="N376" s="1037"/>
      <c r="O376" s="338"/>
      <c r="P376" s="575">
        <f t="shared" si="142"/>
        <v>134900</v>
      </c>
      <c r="Q376" s="575">
        <f t="shared" si="125"/>
        <v>135241</v>
      </c>
      <c r="R376" s="1001">
        <f t="shared" si="130"/>
        <v>100.25277983691623</v>
      </c>
    </row>
    <row r="377" spans="1:18" x14ac:dyDescent="0.2">
      <c r="B377" s="172">
        <f t="shared" si="140"/>
        <v>372</v>
      </c>
      <c r="C377" s="126"/>
      <c r="D377" s="127"/>
      <c r="E377" s="166"/>
      <c r="F377" s="143" t="s">
        <v>212</v>
      </c>
      <c r="G377" s="201" t="s">
        <v>259</v>
      </c>
      <c r="H377" s="492">
        <f>43457+1555+498-310+1040+409</f>
        <v>46649</v>
      </c>
      <c r="I377" s="492">
        <v>46608</v>
      </c>
      <c r="J377" s="995">
        <f t="shared" si="129"/>
        <v>99.912109584342645</v>
      </c>
      <c r="K377" s="338"/>
      <c r="L377" s="574"/>
      <c r="M377" s="574"/>
      <c r="N377" s="1037"/>
      <c r="O377" s="338"/>
      <c r="P377" s="575">
        <f t="shared" si="142"/>
        <v>46649</v>
      </c>
      <c r="Q377" s="575">
        <f t="shared" si="125"/>
        <v>46608</v>
      </c>
      <c r="R377" s="1001">
        <f t="shared" si="130"/>
        <v>99.912109584342645</v>
      </c>
    </row>
    <row r="378" spans="1:18" x14ac:dyDescent="0.2">
      <c r="B378" s="172">
        <f t="shared" si="140"/>
        <v>373</v>
      </c>
      <c r="C378" s="126"/>
      <c r="D378" s="127"/>
      <c r="E378" s="166"/>
      <c r="F378" s="143" t="s">
        <v>218</v>
      </c>
      <c r="G378" s="201" t="s">
        <v>341</v>
      </c>
      <c r="H378" s="573">
        <f>SUM(H379:H383)</f>
        <v>54300</v>
      </c>
      <c r="I378" s="573">
        <f t="shared" ref="I378" si="143">SUM(I379:I383)</f>
        <v>53631</v>
      </c>
      <c r="J378" s="965">
        <f t="shared" si="129"/>
        <v>98.767955801104961</v>
      </c>
      <c r="K378" s="338"/>
      <c r="L378" s="574"/>
      <c r="M378" s="574"/>
      <c r="N378" s="1037"/>
      <c r="O378" s="338"/>
      <c r="P378" s="575">
        <f t="shared" si="142"/>
        <v>54300</v>
      </c>
      <c r="Q378" s="575">
        <f t="shared" si="125"/>
        <v>53631</v>
      </c>
      <c r="R378" s="1001">
        <f t="shared" si="130"/>
        <v>98.767955801104961</v>
      </c>
    </row>
    <row r="379" spans="1:18" x14ac:dyDescent="0.2">
      <c r="B379" s="172">
        <f t="shared" si="140"/>
        <v>374</v>
      </c>
      <c r="C379" s="126"/>
      <c r="D379" s="127"/>
      <c r="E379" s="166"/>
      <c r="F379" s="127" t="s">
        <v>213</v>
      </c>
      <c r="G379" s="193" t="s">
        <v>255</v>
      </c>
      <c r="H379" s="436">
        <f>15+100</f>
        <v>115</v>
      </c>
      <c r="I379" s="436">
        <v>115</v>
      </c>
      <c r="J379" s="978">
        <f t="shared" si="129"/>
        <v>100</v>
      </c>
      <c r="K379" s="338"/>
      <c r="L379" s="574"/>
      <c r="M379" s="574"/>
      <c r="N379" s="1037"/>
      <c r="O379" s="338"/>
      <c r="P379" s="169">
        <f t="shared" si="142"/>
        <v>115</v>
      </c>
      <c r="Q379" s="169">
        <f t="shared" si="125"/>
        <v>115</v>
      </c>
      <c r="R379" s="986">
        <f t="shared" si="130"/>
        <v>100</v>
      </c>
    </row>
    <row r="380" spans="1:18" x14ac:dyDescent="0.2">
      <c r="B380" s="172">
        <f t="shared" si="140"/>
        <v>375</v>
      </c>
      <c r="C380" s="126"/>
      <c r="D380" s="127"/>
      <c r="E380" s="166"/>
      <c r="F380" s="127" t="s">
        <v>199</v>
      </c>
      <c r="G380" s="193" t="s">
        <v>319</v>
      </c>
      <c r="H380" s="436">
        <f>29000-4314-907</f>
        <v>23779</v>
      </c>
      <c r="I380" s="436">
        <v>24089</v>
      </c>
      <c r="J380" s="978">
        <f t="shared" si="129"/>
        <v>101.30367130661509</v>
      </c>
      <c r="K380" s="338"/>
      <c r="L380" s="574"/>
      <c r="M380" s="574"/>
      <c r="N380" s="1037"/>
      <c r="O380" s="338"/>
      <c r="P380" s="169">
        <f t="shared" si="142"/>
        <v>23779</v>
      </c>
      <c r="Q380" s="169">
        <f t="shared" si="125"/>
        <v>24089</v>
      </c>
      <c r="R380" s="986">
        <f t="shared" si="130"/>
        <v>101.30367130661509</v>
      </c>
    </row>
    <row r="381" spans="1:18" x14ac:dyDescent="0.2">
      <c r="B381" s="172">
        <f t="shared" si="140"/>
        <v>376</v>
      </c>
      <c r="C381" s="126"/>
      <c r="D381" s="127"/>
      <c r="E381" s="166"/>
      <c r="F381" s="127" t="s">
        <v>200</v>
      </c>
      <c r="G381" s="193" t="s">
        <v>247</v>
      </c>
      <c r="H381" s="436">
        <f>1780+85+54+97+3179</f>
        <v>5195</v>
      </c>
      <c r="I381" s="436">
        <v>4283</v>
      </c>
      <c r="J381" s="978">
        <f t="shared" si="129"/>
        <v>82.444658325312801</v>
      </c>
      <c r="K381" s="338"/>
      <c r="L381" s="574"/>
      <c r="M381" s="574"/>
      <c r="N381" s="1037"/>
      <c r="O381" s="338"/>
      <c r="P381" s="169">
        <f t="shared" si="142"/>
        <v>5195</v>
      </c>
      <c r="Q381" s="169">
        <f t="shared" si="125"/>
        <v>4283</v>
      </c>
      <c r="R381" s="986">
        <f t="shared" si="130"/>
        <v>82.444658325312801</v>
      </c>
    </row>
    <row r="382" spans="1:18" x14ac:dyDescent="0.2">
      <c r="B382" s="172">
        <f t="shared" si="140"/>
        <v>377</v>
      </c>
      <c r="C382" s="126"/>
      <c r="D382" s="127"/>
      <c r="E382" s="166"/>
      <c r="F382" s="127" t="s">
        <v>214</v>
      </c>
      <c r="G382" s="193" t="s">
        <v>261</v>
      </c>
      <c r="H382" s="436">
        <f>23755-1500-2700</f>
        <v>19555</v>
      </c>
      <c r="I382" s="436">
        <v>19467</v>
      </c>
      <c r="J382" s="978">
        <f t="shared" si="129"/>
        <v>99.549987215545897</v>
      </c>
      <c r="K382" s="338"/>
      <c r="L382" s="574"/>
      <c r="M382" s="574"/>
      <c r="N382" s="1037"/>
      <c r="O382" s="338"/>
      <c r="P382" s="169">
        <f t="shared" si="142"/>
        <v>19555</v>
      </c>
      <c r="Q382" s="169">
        <f t="shared" ref="Q382:Q383" si="144">I382+M382</f>
        <v>19467</v>
      </c>
      <c r="R382" s="986">
        <f t="shared" si="130"/>
        <v>99.549987215545897</v>
      </c>
    </row>
    <row r="383" spans="1:18" x14ac:dyDescent="0.2">
      <c r="B383" s="172">
        <f t="shared" si="140"/>
        <v>378</v>
      </c>
      <c r="C383" s="126"/>
      <c r="D383" s="127"/>
      <c r="E383" s="166"/>
      <c r="F383" s="127" t="s">
        <v>216</v>
      </c>
      <c r="G383" s="193" t="s">
        <v>248</v>
      </c>
      <c r="H383" s="436">
        <f>6039-383</f>
        <v>5656</v>
      </c>
      <c r="I383" s="436">
        <v>5677</v>
      </c>
      <c r="J383" s="978">
        <f t="shared" si="129"/>
        <v>100.37128712871286</v>
      </c>
      <c r="K383" s="338"/>
      <c r="L383" s="574"/>
      <c r="M383" s="574"/>
      <c r="N383" s="1037"/>
      <c r="O383" s="338"/>
      <c r="P383" s="169">
        <f t="shared" si="142"/>
        <v>5656</v>
      </c>
      <c r="Q383" s="169">
        <f t="shared" si="144"/>
        <v>5677</v>
      </c>
      <c r="R383" s="986">
        <f t="shared" si="130"/>
        <v>100.37128712871286</v>
      </c>
    </row>
    <row r="384" spans="1:18" x14ac:dyDescent="0.2">
      <c r="B384" s="172">
        <f t="shared" si="140"/>
        <v>379</v>
      </c>
      <c r="C384" s="126"/>
      <c r="D384" s="183"/>
      <c r="E384" s="146"/>
      <c r="F384" s="127"/>
      <c r="G384" s="193"/>
      <c r="H384" s="436"/>
      <c r="I384" s="436"/>
      <c r="J384" s="978"/>
      <c r="K384" s="338"/>
      <c r="L384" s="831"/>
      <c r="M384" s="831"/>
      <c r="N384" s="1038"/>
      <c r="O384" s="338"/>
      <c r="P384" s="169"/>
      <c r="Q384" s="169"/>
      <c r="R384" s="986"/>
    </row>
    <row r="385" spans="1:18" x14ac:dyDescent="0.2">
      <c r="B385" s="172">
        <f t="shared" si="140"/>
        <v>380</v>
      </c>
      <c r="C385" s="126"/>
      <c r="D385" s="183"/>
      <c r="E385" s="166" t="s">
        <v>675</v>
      </c>
      <c r="F385" s="143" t="s">
        <v>217</v>
      </c>
      <c r="G385" s="201" t="s">
        <v>911</v>
      </c>
      <c r="H385" s="492">
        <v>0</v>
      </c>
      <c r="I385" s="492">
        <v>1213</v>
      </c>
      <c r="J385" s="995">
        <v>0</v>
      </c>
      <c r="K385" s="338"/>
      <c r="L385" s="574"/>
      <c r="M385" s="574"/>
      <c r="N385" s="1037"/>
      <c r="O385" s="338"/>
      <c r="P385" s="575">
        <f t="shared" ref="P385" si="145">H385+L385</f>
        <v>0</v>
      </c>
      <c r="Q385" s="575">
        <f t="shared" ref="Q385" si="146">I385+M385</f>
        <v>1213</v>
      </c>
      <c r="R385" s="1001">
        <v>0</v>
      </c>
    </row>
    <row r="386" spans="1:18" x14ac:dyDescent="0.2">
      <c r="B386" s="172">
        <f t="shared" si="140"/>
        <v>381</v>
      </c>
      <c r="C386" s="126"/>
      <c r="D386" s="183"/>
      <c r="E386" s="146"/>
      <c r="F386" s="143"/>
      <c r="G386" s="201"/>
      <c r="H386" s="492"/>
      <c r="I386" s="492"/>
      <c r="J386" s="995"/>
      <c r="K386" s="338"/>
      <c r="L386" s="831"/>
      <c r="M386" s="831"/>
      <c r="N386" s="1038"/>
      <c r="O386" s="338"/>
      <c r="P386" s="575"/>
      <c r="Q386" s="575"/>
      <c r="R386" s="1001"/>
    </row>
    <row r="387" spans="1:18" x14ac:dyDescent="0.2">
      <c r="B387" s="172">
        <f t="shared" si="140"/>
        <v>382</v>
      </c>
      <c r="C387" s="126"/>
      <c r="D387" s="183"/>
      <c r="E387" s="166" t="s">
        <v>675</v>
      </c>
      <c r="F387" s="143" t="s">
        <v>860</v>
      </c>
      <c r="G387" s="201" t="s">
        <v>861</v>
      </c>
      <c r="H387" s="492">
        <v>3080</v>
      </c>
      <c r="I387" s="492">
        <v>2983</v>
      </c>
      <c r="J387" s="995">
        <f t="shared" si="129"/>
        <v>96.850649350649348</v>
      </c>
      <c r="K387" s="338"/>
      <c r="L387" s="831"/>
      <c r="M387" s="831"/>
      <c r="N387" s="1038"/>
      <c r="O387" s="338"/>
      <c r="P387" s="575">
        <f t="shared" si="142"/>
        <v>3080</v>
      </c>
      <c r="Q387" s="575">
        <f t="shared" ref="Q387" si="147">I387+M387</f>
        <v>2983</v>
      </c>
      <c r="R387" s="1001">
        <f t="shared" si="130"/>
        <v>96.850649350649348</v>
      </c>
    </row>
    <row r="388" spans="1:18" ht="12" customHeight="1" x14ac:dyDescent="0.2">
      <c r="B388" s="172">
        <f t="shared" si="140"/>
        <v>383</v>
      </c>
      <c r="C388" s="126"/>
      <c r="D388" s="126"/>
      <c r="E388" s="146"/>
      <c r="F388" s="127"/>
      <c r="G388" s="193"/>
      <c r="H388" s="444"/>
      <c r="I388" s="444"/>
      <c r="J388" s="995"/>
      <c r="K388" s="128"/>
      <c r="L388" s="159"/>
      <c r="M388" s="159"/>
      <c r="N388" s="1038"/>
      <c r="O388" s="128"/>
      <c r="P388" s="215"/>
      <c r="Q388" s="215"/>
      <c r="R388" s="1000"/>
    </row>
    <row r="389" spans="1:18" ht="15" customHeight="1" x14ac:dyDescent="0.25">
      <c r="A389" s="409"/>
      <c r="B389" s="172">
        <f t="shared" si="140"/>
        <v>384</v>
      </c>
      <c r="C389" s="23">
        <v>3</v>
      </c>
      <c r="D389" s="123" t="s">
        <v>142</v>
      </c>
      <c r="E389" s="24"/>
      <c r="F389" s="24"/>
      <c r="G389" s="192"/>
      <c r="H389" s="415">
        <f>H390+H397+H405+H413+H421+H429+H436+H443+H451+H459+H460+H461+H462+H464+H475+H487+H488</f>
        <v>1827676</v>
      </c>
      <c r="I389" s="415">
        <f>I390+I397+I405+I413+I421+I429+I436+I443+I451+I459+I460+I461+I462+I464+I475+I487+I488</f>
        <v>1825936</v>
      </c>
      <c r="J389" s="972">
        <f t="shared" si="129"/>
        <v>99.904797130344775</v>
      </c>
      <c r="K389" s="86"/>
      <c r="L389" s="197">
        <v>0</v>
      </c>
      <c r="M389" s="197">
        <v>0</v>
      </c>
      <c r="N389" s="1034"/>
      <c r="O389" s="86"/>
      <c r="P389" s="372">
        <f t="shared" ref="P389:P451" si="148">H389+L389</f>
        <v>1827676</v>
      </c>
      <c r="Q389" s="372">
        <f t="shared" ref="Q389:Q451" si="149">I389+M389</f>
        <v>1825936</v>
      </c>
      <c r="R389" s="981">
        <f t="shared" si="130"/>
        <v>99.904797130344775</v>
      </c>
    </row>
    <row r="390" spans="1:18" ht="15" x14ac:dyDescent="0.25">
      <c r="B390" s="172">
        <f t="shared" si="140"/>
        <v>385</v>
      </c>
      <c r="C390" s="142"/>
      <c r="D390" s="152" t="s">
        <v>4</v>
      </c>
      <c r="E390" s="176" t="s">
        <v>428</v>
      </c>
      <c r="F390" s="147" t="s">
        <v>250</v>
      </c>
      <c r="G390" s="238"/>
      <c r="H390" s="427">
        <f>SUM(H391:H393)</f>
        <v>11109</v>
      </c>
      <c r="I390" s="427">
        <f t="shared" ref="I390" si="150">SUM(I391:I393)</f>
        <v>11103</v>
      </c>
      <c r="J390" s="965">
        <f t="shared" si="129"/>
        <v>99.94598973805023</v>
      </c>
      <c r="K390" s="332"/>
      <c r="L390" s="431"/>
      <c r="M390" s="431"/>
      <c r="N390" s="1035"/>
      <c r="O390" s="332"/>
      <c r="P390" s="333">
        <f t="shared" si="148"/>
        <v>11109</v>
      </c>
      <c r="Q390" s="333">
        <f t="shared" si="149"/>
        <v>11103</v>
      </c>
      <c r="R390" s="982">
        <f t="shared" si="130"/>
        <v>99.94598973805023</v>
      </c>
    </row>
    <row r="391" spans="1:18" ht="12" customHeight="1" x14ac:dyDescent="0.2">
      <c r="B391" s="172">
        <f t="shared" si="140"/>
        <v>386</v>
      </c>
      <c r="C391" s="142"/>
      <c r="D391" s="143"/>
      <c r="E391" s="143"/>
      <c r="F391" s="143" t="s">
        <v>211</v>
      </c>
      <c r="G391" s="201" t="s">
        <v>506</v>
      </c>
      <c r="H391" s="573">
        <f>6800+340+300</f>
        <v>7440</v>
      </c>
      <c r="I391" s="573">
        <v>7419</v>
      </c>
      <c r="J391" s="965">
        <f t="shared" si="129"/>
        <v>99.717741935483872</v>
      </c>
      <c r="K391" s="336"/>
      <c r="L391" s="400"/>
      <c r="M391" s="400"/>
      <c r="N391" s="1035"/>
      <c r="O391" s="336"/>
      <c r="P391" s="167">
        <f t="shared" si="148"/>
        <v>7440</v>
      </c>
      <c r="Q391" s="167">
        <f t="shared" si="149"/>
        <v>7419</v>
      </c>
      <c r="R391" s="982">
        <f t="shared" si="130"/>
        <v>99.717741935483872</v>
      </c>
    </row>
    <row r="392" spans="1:18" ht="12" customHeight="1" x14ac:dyDescent="0.2">
      <c r="B392" s="172">
        <f t="shared" si="140"/>
        <v>387</v>
      </c>
      <c r="C392" s="142"/>
      <c r="D392" s="143"/>
      <c r="E392" s="143"/>
      <c r="F392" s="143" t="s">
        <v>212</v>
      </c>
      <c r="G392" s="201" t="s">
        <v>259</v>
      </c>
      <c r="H392" s="573">
        <f>2380+119+70</f>
        <v>2569</v>
      </c>
      <c r="I392" s="573">
        <v>2590</v>
      </c>
      <c r="J392" s="965">
        <f t="shared" si="129"/>
        <v>100.81743869209809</v>
      </c>
      <c r="K392" s="336"/>
      <c r="L392" s="400"/>
      <c r="M392" s="400"/>
      <c r="N392" s="1035"/>
      <c r="O392" s="336"/>
      <c r="P392" s="167">
        <f t="shared" si="148"/>
        <v>2569</v>
      </c>
      <c r="Q392" s="167">
        <f t="shared" si="149"/>
        <v>2590</v>
      </c>
      <c r="R392" s="982">
        <f t="shared" si="130"/>
        <v>100.81743869209809</v>
      </c>
    </row>
    <row r="393" spans="1:18" ht="12" customHeight="1" x14ac:dyDescent="0.2">
      <c r="B393" s="172">
        <f t="shared" si="140"/>
        <v>388</v>
      </c>
      <c r="C393" s="142"/>
      <c r="D393" s="143"/>
      <c r="E393" s="143"/>
      <c r="F393" s="143" t="s">
        <v>218</v>
      </c>
      <c r="G393" s="201" t="s">
        <v>341</v>
      </c>
      <c r="H393" s="573">
        <f>SUM(H394:H396)</f>
        <v>1100</v>
      </c>
      <c r="I393" s="573">
        <f t="shared" ref="I393" si="151">SUM(I394:I396)</f>
        <v>1094</v>
      </c>
      <c r="J393" s="965">
        <f t="shared" si="129"/>
        <v>99.454545454545453</v>
      </c>
      <c r="K393" s="336"/>
      <c r="L393" s="400"/>
      <c r="M393" s="400"/>
      <c r="N393" s="1035"/>
      <c r="O393" s="336"/>
      <c r="P393" s="167">
        <f t="shared" si="148"/>
        <v>1100</v>
      </c>
      <c r="Q393" s="167">
        <f t="shared" si="149"/>
        <v>1094</v>
      </c>
      <c r="R393" s="982">
        <f t="shared" si="130"/>
        <v>99.454545454545453</v>
      </c>
    </row>
    <row r="394" spans="1:18" ht="12" customHeight="1" x14ac:dyDescent="0.2">
      <c r="B394" s="172">
        <f t="shared" si="140"/>
        <v>389</v>
      </c>
      <c r="C394" s="142"/>
      <c r="D394" s="143"/>
      <c r="E394" s="143"/>
      <c r="F394" s="127" t="s">
        <v>199</v>
      </c>
      <c r="G394" s="193" t="s">
        <v>246</v>
      </c>
      <c r="H394" s="399">
        <v>550</v>
      </c>
      <c r="I394" s="399">
        <v>550</v>
      </c>
      <c r="J394" s="966">
        <f t="shared" si="129"/>
        <v>100</v>
      </c>
      <c r="K394" s="336"/>
      <c r="L394" s="400"/>
      <c r="M394" s="400"/>
      <c r="N394" s="1035"/>
      <c r="O394" s="336"/>
      <c r="P394" s="168">
        <f t="shared" si="148"/>
        <v>550</v>
      </c>
      <c r="Q394" s="168">
        <f t="shared" si="149"/>
        <v>550</v>
      </c>
      <c r="R394" s="983">
        <f t="shared" si="130"/>
        <v>100</v>
      </c>
    </row>
    <row r="395" spans="1:18" ht="12" customHeight="1" x14ac:dyDescent="0.2">
      <c r="B395" s="172">
        <f t="shared" si="140"/>
        <v>390</v>
      </c>
      <c r="C395" s="142"/>
      <c r="D395" s="143"/>
      <c r="E395" s="143"/>
      <c r="F395" s="127" t="s">
        <v>200</v>
      </c>
      <c r="G395" s="193" t="s">
        <v>247</v>
      </c>
      <c r="H395" s="399">
        <v>400</v>
      </c>
      <c r="I395" s="399">
        <v>400</v>
      </c>
      <c r="J395" s="966">
        <f t="shared" si="129"/>
        <v>100</v>
      </c>
      <c r="K395" s="336"/>
      <c r="L395" s="400"/>
      <c r="M395" s="400"/>
      <c r="N395" s="1035"/>
      <c r="O395" s="336"/>
      <c r="P395" s="168">
        <f t="shared" si="148"/>
        <v>400</v>
      </c>
      <c r="Q395" s="168">
        <f t="shared" si="149"/>
        <v>400</v>
      </c>
      <c r="R395" s="983">
        <f t="shared" si="130"/>
        <v>100</v>
      </c>
    </row>
    <row r="396" spans="1:18" x14ac:dyDescent="0.2">
      <c r="B396" s="172">
        <f t="shared" si="140"/>
        <v>391</v>
      </c>
      <c r="C396" s="142"/>
      <c r="D396" s="143"/>
      <c r="E396" s="143"/>
      <c r="F396" s="127" t="s">
        <v>216</v>
      </c>
      <c r="G396" s="193" t="s">
        <v>248</v>
      </c>
      <c r="H396" s="399">
        <v>150</v>
      </c>
      <c r="I396" s="399">
        <v>144</v>
      </c>
      <c r="J396" s="966">
        <f t="shared" si="129"/>
        <v>96</v>
      </c>
      <c r="K396" s="336"/>
      <c r="L396" s="400"/>
      <c r="M396" s="400"/>
      <c r="N396" s="1035"/>
      <c r="O396" s="336"/>
      <c r="P396" s="168">
        <f t="shared" si="148"/>
        <v>150</v>
      </c>
      <c r="Q396" s="168">
        <f t="shared" si="149"/>
        <v>144</v>
      </c>
      <c r="R396" s="983">
        <f t="shared" si="130"/>
        <v>96</v>
      </c>
    </row>
    <row r="397" spans="1:18" ht="15" x14ac:dyDescent="0.25">
      <c r="B397" s="172">
        <f t="shared" si="140"/>
        <v>392</v>
      </c>
      <c r="C397" s="126"/>
      <c r="D397" s="264">
        <v>2</v>
      </c>
      <c r="E397" s="176" t="s">
        <v>428</v>
      </c>
      <c r="F397" s="147" t="s">
        <v>384</v>
      </c>
      <c r="G397" s="238"/>
      <c r="H397" s="427">
        <f>H398+H399+H400+H404</f>
        <v>89443</v>
      </c>
      <c r="I397" s="427">
        <f t="shared" ref="I397" si="152">I398+I399+I400+I404</f>
        <v>89443</v>
      </c>
      <c r="J397" s="965">
        <f t="shared" si="129"/>
        <v>100</v>
      </c>
      <c r="K397" s="341"/>
      <c r="L397" s="437"/>
      <c r="M397" s="437"/>
      <c r="N397" s="1037"/>
      <c r="O397" s="341"/>
      <c r="P397" s="344">
        <f t="shared" si="148"/>
        <v>89443</v>
      </c>
      <c r="Q397" s="344">
        <f t="shared" si="149"/>
        <v>89443</v>
      </c>
      <c r="R397" s="1001">
        <f t="shared" si="130"/>
        <v>100</v>
      </c>
    </row>
    <row r="398" spans="1:18" ht="12" customHeight="1" x14ac:dyDescent="0.2">
      <c r="B398" s="172">
        <f t="shared" si="140"/>
        <v>393</v>
      </c>
      <c r="C398" s="126"/>
      <c r="D398" s="126"/>
      <c r="E398" s="130"/>
      <c r="F398" s="143" t="s">
        <v>211</v>
      </c>
      <c r="G398" s="201" t="s">
        <v>506</v>
      </c>
      <c r="H398" s="573">
        <f>57000+2850+2382-3500</f>
        <v>58732</v>
      </c>
      <c r="I398" s="573">
        <v>58777</v>
      </c>
      <c r="J398" s="965">
        <f t="shared" si="129"/>
        <v>100.07661921950555</v>
      </c>
      <c r="K398" s="338"/>
      <c r="L398" s="574"/>
      <c r="M398" s="574"/>
      <c r="N398" s="1037"/>
      <c r="O398" s="338"/>
      <c r="P398" s="575">
        <f t="shared" si="148"/>
        <v>58732</v>
      </c>
      <c r="Q398" s="575">
        <f t="shared" si="149"/>
        <v>58777</v>
      </c>
      <c r="R398" s="1001">
        <f t="shared" si="130"/>
        <v>100.07661921950555</v>
      </c>
    </row>
    <row r="399" spans="1:18" ht="12" customHeight="1" x14ac:dyDescent="0.2">
      <c r="B399" s="172">
        <f t="shared" si="140"/>
        <v>394</v>
      </c>
      <c r="C399" s="126"/>
      <c r="D399" s="126"/>
      <c r="E399" s="130"/>
      <c r="F399" s="143" t="s">
        <v>212</v>
      </c>
      <c r="G399" s="201" t="s">
        <v>259</v>
      </c>
      <c r="H399" s="573">
        <f>19930+997+834-1500</f>
        <v>20261</v>
      </c>
      <c r="I399" s="573">
        <v>20216</v>
      </c>
      <c r="J399" s="965">
        <f t="shared" si="129"/>
        <v>99.777898425546624</v>
      </c>
      <c r="K399" s="338"/>
      <c r="L399" s="574"/>
      <c r="M399" s="574"/>
      <c r="N399" s="1037"/>
      <c r="O399" s="338"/>
      <c r="P399" s="575">
        <f t="shared" si="148"/>
        <v>20261</v>
      </c>
      <c r="Q399" s="575">
        <f t="shared" si="149"/>
        <v>20216</v>
      </c>
      <c r="R399" s="1001">
        <f t="shared" si="130"/>
        <v>99.777898425546624</v>
      </c>
    </row>
    <row r="400" spans="1:18" ht="12" customHeight="1" x14ac:dyDescent="0.2">
      <c r="B400" s="172">
        <f t="shared" si="140"/>
        <v>395</v>
      </c>
      <c r="C400" s="126"/>
      <c r="D400" s="126"/>
      <c r="E400" s="130"/>
      <c r="F400" s="143" t="s">
        <v>218</v>
      </c>
      <c r="G400" s="201" t="s">
        <v>341</v>
      </c>
      <c r="H400" s="573">
        <f>SUM(H401:H403)</f>
        <v>10300</v>
      </c>
      <c r="I400" s="573">
        <f t="shared" ref="I400" si="153">SUM(I401:I403)</f>
        <v>10295</v>
      </c>
      <c r="J400" s="965">
        <f t="shared" si="129"/>
        <v>99.951456310679603</v>
      </c>
      <c r="K400" s="338"/>
      <c r="L400" s="574"/>
      <c r="M400" s="574"/>
      <c r="N400" s="1037"/>
      <c r="O400" s="338"/>
      <c r="P400" s="575">
        <f t="shared" si="148"/>
        <v>10300</v>
      </c>
      <c r="Q400" s="575">
        <f t="shared" si="149"/>
        <v>10295</v>
      </c>
      <c r="R400" s="1001">
        <f t="shared" si="130"/>
        <v>99.951456310679603</v>
      </c>
    </row>
    <row r="401" spans="2:18" ht="12" customHeight="1" x14ac:dyDescent="0.2">
      <c r="B401" s="172">
        <f t="shared" si="140"/>
        <v>396</v>
      </c>
      <c r="C401" s="126"/>
      <c r="D401" s="126"/>
      <c r="E401" s="130"/>
      <c r="F401" s="127" t="s">
        <v>199</v>
      </c>
      <c r="G401" s="193" t="s">
        <v>319</v>
      </c>
      <c r="H401" s="399">
        <f>3560-560</f>
        <v>3000</v>
      </c>
      <c r="I401" s="399">
        <v>3830</v>
      </c>
      <c r="J401" s="966">
        <f t="shared" si="129"/>
        <v>127.66666666666666</v>
      </c>
      <c r="K401" s="338"/>
      <c r="L401" s="574"/>
      <c r="M401" s="574"/>
      <c r="N401" s="1037"/>
      <c r="O401" s="338"/>
      <c r="P401" s="169">
        <f t="shared" si="148"/>
        <v>3000</v>
      </c>
      <c r="Q401" s="169">
        <f t="shared" si="149"/>
        <v>3830</v>
      </c>
      <c r="R401" s="986">
        <f t="shared" si="130"/>
        <v>127.66666666666666</v>
      </c>
    </row>
    <row r="402" spans="2:18" ht="12" customHeight="1" x14ac:dyDescent="0.2">
      <c r="B402" s="172">
        <f t="shared" si="140"/>
        <v>397</v>
      </c>
      <c r="C402" s="126"/>
      <c r="D402" s="126"/>
      <c r="E402" s="130"/>
      <c r="F402" s="127" t="s">
        <v>200</v>
      </c>
      <c r="G402" s="193" t="s">
        <v>247</v>
      </c>
      <c r="H402" s="399">
        <f>3900+1400</f>
        <v>5300</v>
      </c>
      <c r="I402" s="399">
        <v>3965</v>
      </c>
      <c r="J402" s="966">
        <f t="shared" si="129"/>
        <v>74.811320754716988</v>
      </c>
      <c r="K402" s="338"/>
      <c r="L402" s="574"/>
      <c r="M402" s="574"/>
      <c r="N402" s="1037"/>
      <c r="O402" s="338"/>
      <c r="P402" s="169">
        <f t="shared" si="148"/>
        <v>5300</v>
      </c>
      <c r="Q402" s="169">
        <f t="shared" si="149"/>
        <v>3965</v>
      </c>
      <c r="R402" s="986">
        <f t="shared" si="130"/>
        <v>74.811320754716988</v>
      </c>
    </row>
    <row r="403" spans="2:18" ht="12" customHeight="1" x14ac:dyDescent="0.2">
      <c r="B403" s="172">
        <f t="shared" si="140"/>
        <v>398</v>
      </c>
      <c r="C403" s="126"/>
      <c r="D403" s="126"/>
      <c r="E403" s="130"/>
      <c r="F403" s="127" t="s">
        <v>216</v>
      </c>
      <c r="G403" s="193" t="s">
        <v>248</v>
      </c>
      <c r="H403" s="399">
        <f>2840-840</f>
        <v>2000</v>
      </c>
      <c r="I403" s="399">
        <v>2500</v>
      </c>
      <c r="J403" s="966">
        <f t="shared" si="129"/>
        <v>125</v>
      </c>
      <c r="K403" s="338"/>
      <c r="L403" s="574"/>
      <c r="M403" s="574"/>
      <c r="N403" s="1037"/>
      <c r="O403" s="338"/>
      <c r="P403" s="169">
        <f t="shared" si="148"/>
        <v>2000</v>
      </c>
      <c r="Q403" s="169">
        <f t="shared" si="149"/>
        <v>2500</v>
      </c>
      <c r="R403" s="986">
        <f t="shared" si="130"/>
        <v>125</v>
      </c>
    </row>
    <row r="404" spans="2:18" ht="12" customHeight="1" x14ac:dyDescent="0.2">
      <c r="B404" s="172">
        <f t="shared" si="140"/>
        <v>399</v>
      </c>
      <c r="C404" s="126"/>
      <c r="D404" s="126"/>
      <c r="E404" s="130"/>
      <c r="F404" s="143" t="s">
        <v>217</v>
      </c>
      <c r="G404" s="201" t="s">
        <v>505</v>
      </c>
      <c r="H404" s="573">
        <f>1650-1500</f>
        <v>150</v>
      </c>
      <c r="I404" s="573">
        <v>155</v>
      </c>
      <c r="J404" s="965">
        <f t="shared" si="129"/>
        <v>103.33333333333334</v>
      </c>
      <c r="K404" s="338"/>
      <c r="L404" s="574"/>
      <c r="M404" s="574"/>
      <c r="N404" s="1037"/>
      <c r="O404" s="338"/>
      <c r="P404" s="575">
        <f t="shared" si="148"/>
        <v>150</v>
      </c>
      <c r="Q404" s="575">
        <f t="shared" si="149"/>
        <v>155</v>
      </c>
      <c r="R404" s="1001">
        <f t="shared" si="130"/>
        <v>103.33333333333334</v>
      </c>
    </row>
    <row r="405" spans="2:18" ht="15" x14ac:dyDescent="0.25">
      <c r="B405" s="172">
        <f t="shared" si="140"/>
        <v>400</v>
      </c>
      <c r="C405" s="126"/>
      <c r="D405" s="264">
        <v>3</v>
      </c>
      <c r="E405" s="176" t="s">
        <v>428</v>
      </c>
      <c r="F405" s="147" t="s">
        <v>386</v>
      </c>
      <c r="G405" s="238"/>
      <c r="H405" s="427">
        <f>H406+H407+H408+H412</f>
        <v>145431</v>
      </c>
      <c r="I405" s="427">
        <f t="shared" ref="I405" si="154">I406+I407+I408+I412</f>
        <v>145431</v>
      </c>
      <c r="J405" s="965">
        <f t="shared" si="129"/>
        <v>100</v>
      </c>
      <c r="K405" s="341"/>
      <c r="L405" s="437"/>
      <c r="M405" s="437"/>
      <c r="N405" s="1037"/>
      <c r="O405" s="341"/>
      <c r="P405" s="344">
        <f t="shared" si="148"/>
        <v>145431</v>
      </c>
      <c r="Q405" s="344">
        <f t="shared" si="149"/>
        <v>145431</v>
      </c>
      <c r="R405" s="1001">
        <f t="shared" si="130"/>
        <v>100</v>
      </c>
    </row>
    <row r="406" spans="2:18" ht="12" customHeight="1" x14ac:dyDescent="0.2">
      <c r="B406" s="172">
        <f t="shared" si="140"/>
        <v>401</v>
      </c>
      <c r="C406" s="126"/>
      <c r="D406" s="126"/>
      <c r="E406" s="130"/>
      <c r="F406" s="143" t="s">
        <v>211</v>
      </c>
      <c r="G406" s="201" t="s">
        <v>506</v>
      </c>
      <c r="H406" s="573">
        <f>94600+4730+280</f>
        <v>99610</v>
      </c>
      <c r="I406" s="573">
        <v>99198</v>
      </c>
      <c r="J406" s="965">
        <f t="shared" si="129"/>
        <v>99.586386908944888</v>
      </c>
      <c r="K406" s="338"/>
      <c r="L406" s="574"/>
      <c r="M406" s="574"/>
      <c r="N406" s="1037"/>
      <c r="O406" s="338"/>
      <c r="P406" s="575">
        <f t="shared" si="148"/>
        <v>99610</v>
      </c>
      <c r="Q406" s="575">
        <f t="shared" si="149"/>
        <v>99198</v>
      </c>
      <c r="R406" s="1001">
        <f t="shared" si="130"/>
        <v>99.586386908944888</v>
      </c>
    </row>
    <row r="407" spans="2:18" ht="12" customHeight="1" x14ac:dyDescent="0.2">
      <c r="B407" s="172">
        <f t="shared" si="140"/>
        <v>402</v>
      </c>
      <c r="C407" s="126"/>
      <c r="D407" s="126"/>
      <c r="E407" s="130"/>
      <c r="F407" s="143" t="s">
        <v>212</v>
      </c>
      <c r="G407" s="201" t="s">
        <v>259</v>
      </c>
      <c r="H407" s="573">
        <f>33310+1666</f>
        <v>34976</v>
      </c>
      <c r="I407" s="573">
        <v>35388</v>
      </c>
      <c r="J407" s="965">
        <f t="shared" si="129"/>
        <v>101.1779505946935</v>
      </c>
      <c r="K407" s="338"/>
      <c r="L407" s="574"/>
      <c r="M407" s="574"/>
      <c r="N407" s="1037"/>
      <c r="O407" s="338"/>
      <c r="P407" s="575">
        <f t="shared" si="148"/>
        <v>34976</v>
      </c>
      <c r="Q407" s="575">
        <f t="shared" si="149"/>
        <v>35388</v>
      </c>
      <c r="R407" s="1001">
        <f t="shared" si="130"/>
        <v>101.1779505946935</v>
      </c>
    </row>
    <row r="408" spans="2:18" ht="12" customHeight="1" x14ac:dyDescent="0.2">
      <c r="B408" s="172">
        <f t="shared" si="140"/>
        <v>403</v>
      </c>
      <c r="C408" s="126"/>
      <c r="D408" s="126"/>
      <c r="E408" s="130"/>
      <c r="F408" s="143" t="s">
        <v>218</v>
      </c>
      <c r="G408" s="201" t="s">
        <v>341</v>
      </c>
      <c r="H408" s="573">
        <f>SUM(H409:H411)</f>
        <v>10325</v>
      </c>
      <c r="I408" s="573">
        <f t="shared" ref="I408" si="155">SUM(I409:I411)</f>
        <v>10325</v>
      </c>
      <c r="J408" s="965">
        <f t="shared" ref="J408:J470" si="156">I408/H408*100</f>
        <v>100</v>
      </c>
      <c r="K408" s="338"/>
      <c r="L408" s="574"/>
      <c r="M408" s="574"/>
      <c r="N408" s="1037"/>
      <c r="O408" s="338"/>
      <c r="P408" s="575">
        <f t="shared" si="148"/>
        <v>10325</v>
      </c>
      <c r="Q408" s="575">
        <f t="shared" si="149"/>
        <v>10325</v>
      </c>
      <c r="R408" s="1001">
        <f t="shared" ref="R408:R470" si="157">Q408/P408*100</f>
        <v>100</v>
      </c>
    </row>
    <row r="409" spans="2:18" ht="12" customHeight="1" x14ac:dyDescent="0.2">
      <c r="B409" s="172">
        <f t="shared" si="140"/>
        <v>404</v>
      </c>
      <c r="C409" s="126"/>
      <c r="D409" s="126"/>
      <c r="E409" s="130"/>
      <c r="F409" s="127" t="s">
        <v>199</v>
      </c>
      <c r="G409" s="193" t="s">
        <v>319</v>
      </c>
      <c r="H409" s="399">
        <v>6500</v>
      </c>
      <c r="I409" s="399">
        <v>6501</v>
      </c>
      <c r="J409" s="966">
        <f t="shared" si="156"/>
        <v>100.01538461538462</v>
      </c>
      <c r="K409" s="338"/>
      <c r="L409" s="574"/>
      <c r="M409" s="574"/>
      <c r="N409" s="1037"/>
      <c r="O409" s="338"/>
      <c r="P409" s="169">
        <f t="shared" si="148"/>
        <v>6500</v>
      </c>
      <c r="Q409" s="169">
        <f t="shared" si="149"/>
        <v>6501</v>
      </c>
      <c r="R409" s="986">
        <f t="shared" si="157"/>
        <v>100.01538461538462</v>
      </c>
    </row>
    <row r="410" spans="2:18" ht="12" customHeight="1" x14ac:dyDescent="0.2">
      <c r="B410" s="172">
        <f t="shared" si="140"/>
        <v>405</v>
      </c>
      <c r="C410" s="126"/>
      <c r="D410" s="126"/>
      <c r="E410" s="130"/>
      <c r="F410" s="127" t="s">
        <v>200</v>
      </c>
      <c r="G410" s="193" t="s">
        <v>247</v>
      </c>
      <c r="H410" s="399">
        <v>400</v>
      </c>
      <c r="I410" s="399">
        <v>400</v>
      </c>
      <c r="J410" s="966">
        <f t="shared" si="156"/>
        <v>100</v>
      </c>
      <c r="K410" s="338"/>
      <c r="L410" s="574"/>
      <c r="M410" s="574"/>
      <c r="N410" s="1037"/>
      <c r="O410" s="338"/>
      <c r="P410" s="169">
        <f t="shared" si="148"/>
        <v>400</v>
      </c>
      <c r="Q410" s="169">
        <f t="shared" si="149"/>
        <v>400</v>
      </c>
      <c r="R410" s="986">
        <f t="shared" si="157"/>
        <v>100</v>
      </c>
    </row>
    <row r="411" spans="2:18" ht="12" customHeight="1" x14ac:dyDescent="0.2">
      <c r="B411" s="172">
        <f t="shared" si="140"/>
        <v>406</v>
      </c>
      <c r="C411" s="126"/>
      <c r="D411" s="126"/>
      <c r="E411" s="130"/>
      <c r="F411" s="127" t="s">
        <v>216</v>
      </c>
      <c r="G411" s="193" t="s">
        <v>248</v>
      </c>
      <c r="H411" s="399">
        <v>3425</v>
      </c>
      <c r="I411" s="399">
        <v>3424</v>
      </c>
      <c r="J411" s="966">
        <f t="shared" si="156"/>
        <v>99.970802919708021</v>
      </c>
      <c r="K411" s="338"/>
      <c r="L411" s="574"/>
      <c r="M411" s="574"/>
      <c r="N411" s="1037"/>
      <c r="O411" s="338"/>
      <c r="P411" s="169">
        <f t="shared" si="148"/>
        <v>3425</v>
      </c>
      <c r="Q411" s="169">
        <f t="shared" si="149"/>
        <v>3424</v>
      </c>
      <c r="R411" s="986">
        <f t="shared" si="157"/>
        <v>99.970802919708021</v>
      </c>
    </row>
    <row r="412" spans="2:18" ht="12" customHeight="1" x14ac:dyDescent="0.2">
      <c r="B412" s="172">
        <f t="shared" si="140"/>
        <v>407</v>
      </c>
      <c r="C412" s="126"/>
      <c r="D412" s="126"/>
      <c r="E412" s="130"/>
      <c r="F412" s="143" t="s">
        <v>217</v>
      </c>
      <c r="G412" s="201" t="s">
        <v>505</v>
      </c>
      <c r="H412" s="573">
        <f>800-280</f>
        <v>520</v>
      </c>
      <c r="I412" s="573">
        <v>520</v>
      </c>
      <c r="J412" s="965">
        <f t="shared" si="156"/>
        <v>100</v>
      </c>
      <c r="K412" s="338"/>
      <c r="L412" s="574"/>
      <c r="M412" s="574"/>
      <c r="N412" s="1037"/>
      <c r="O412" s="338"/>
      <c r="P412" s="575">
        <f t="shared" si="148"/>
        <v>520</v>
      </c>
      <c r="Q412" s="575">
        <f t="shared" si="149"/>
        <v>520</v>
      </c>
      <c r="R412" s="1001">
        <f t="shared" si="157"/>
        <v>100</v>
      </c>
    </row>
    <row r="413" spans="2:18" ht="15" x14ac:dyDescent="0.25">
      <c r="B413" s="172">
        <f t="shared" si="140"/>
        <v>408</v>
      </c>
      <c r="C413" s="126"/>
      <c r="D413" s="264">
        <v>4</v>
      </c>
      <c r="E413" s="176" t="s">
        <v>428</v>
      </c>
      <c r="F413" s="267" t="s">
        <v>387</v>
      </c>
      <c r="G413" s="268"/>
      <c r="H413" s="429">
        <f>H414+H415+H420+H416</f>
        <v>95831</v>
      </c>
      <c r="I413" s="429">
        <f t="shared" ref="I413" si="158">I414+I415+I420+I416</f>
        <v>95381</v>
      </c>
      <c r="J413" s="995">
        <f t="shared" si="156"/>
        <v>99.530423349438067</v>
      </c>
      <c r="K413" s="341"/>
      <c r="L413" s="449"/>
      <c r="M413" s="449"/>
      <c r="N413" s="1038"/>
      <c r="O413" s="341"/>
      <c r="P413" s="345">
        <f t="shared" si="148"/>
        <v>95831</v>
      </c>
      <c r="Q413" s="345">
        <f t="shared" si="149"/>
        <v>95381</v>
      </c>
      <c r="R413" s="1009">
        <f t="shared" si="157"/>
        <v>99.530423349438067</v>
      </c>
    </row>
    <row r="414" spans="2:18" ht="12" customHeight="1" x14ac:dyDescent="0.2">
      <c r="B414" s="172">
        <f t="shared" si="140"/>
        <v>409</v>
      </c>
      <c r="C414" s="126"/>
      <c r="D414" s="126"/>
      <c r="E414" s="130"/>
      <c r="F414" s="143" t="s">
        <v>211</v>
      </c>
      <c r="G414" s="201" t="s">
        <v>506</v>
      </c>
      <c r="H414" s="573">
        <f>61330+3067+2936</f>
        <v>67333</v>
      </c>
      <c r="I414" s="573">
        <v>67333</v>
      </c>
      <c r="J414" s="965">
        <f t="shared" si="156"/>
        <v>100</v>
      </c>
      <c r="K414" s="338"/>
      <c r="L414" s="574"/>
      <c r="M414" s="574"/>
      <c r="N414" s="1037"/>
      <c r="O414" s="338"/>
      <c r="P414" s="575">
        <f t="shared" si="148"/>
        <v>67333</v>
      </c>
      <c r="Q414" s="575">
        <f t="shared" si="149"/>
        <v>67333</v>
      </c>
      <c r="R414" s="1001">
        <f t="shared" si="157"/>
        <v>100</v>
      </c>
    </row>
    <row r="415" spans="2:18" ht="12" customHeight="1" x14ac:dyDescent="0.2">
      <c r="B415" s="172">
        <f t="shared" si="140"/>
        <v>410</v>
      </c>
      <c r="C415" s="126"/>
      <c r="D415" s="126"/>
      <c r="E415" s="130"/>
      <c r="F415" s="143" t="s">
        <v>212</v>
      </c>
      <c r="G415" s="201" t="s">
        <v>259</v>
      </c>
      <c r="H415" s="573">
        <f>21585+1079+1034</f>
        <v>23698</v>
      </c>
      <c r="I415" s="573">
        <v>23698</v>
      </c>
      <c r="J415" s="965">
        <f t="shared" si="156"/>
        <v>100</v>
      </c>
      <c r="K415" s="338"/>
      <c r="L415" s="574"/>
      <c r="M415" s="574"/>
      <c r="N415" s="1037"/>
      <c r="O415" s="338"/>
      <c r="P415" s="575">
        <f t="shared" si="148"/>
        <v>23698</v>
      </c>
      <c r="Q415" s="575">
        <f t="shared" si="149"/>
        <v>23698</v>
      </c>
      <c r="R415" s="1001">
        <f t="shared" si="157"/>
        <v>100</v>
      </c>
    </row>
    <row r="416" spans="2:18" ht="12" customHeight="1" x14ac:dyDescent="0.2">
      <c r="B416" s="172">
        <f t="shared" si="140"/>
        <v>411</v>
      </c>
      <c r="C416" s="126"/>
      <c r="D416" s="126"/>
      <c r="E416" s="130"/>
      <c r="F416" s="143" t="s">
        <v>218</v>
      </c>
      <c r="G416" s="201" t="s">
        <v>341</v>
      </c>
      <c r="H416" s="573">
        <f>SUM(H417:H419)</f>
        <v>3800</v>
      </c>
      <c r="I416" s="573">
        <f t="shared" ref="I416" si="159">SUM(I417:I419)</f>
        <v>3800</v>
      </c>
      <c r="J416" s="965">
        <f t="shared" si="156"/>
        <v>100</v>
      </c>
      <c r="K416" s="338"/>
      <c r="L416" s="574"/>
      <c r="M416" s="574"/>
      <c r="N416" s="1037"/>
      <c r="O416" s="338"/>
      <c r="P416" s="575">
        <f t="shared" si="148"/>
        <v>3800</v>
      </c>
      <c r="Q416" s="575">
        <f t="shared" si="149"/>
        <v>3800</v>
      </c>
      <c r="R416" s="1001">
        <f t="shared" si="157"/>
        <v>100</v>
      </c>
    </row>
    <row r="417" spans="2:18" ht="12" customHeight="1" x14ac:dyDescent="0.2">
      <c r="B417" s="172">
        <f t="shared" si="140"/>
        <v>412</v>
      </c>
      <c r="C417" s="126"/>
      <c r="D417" s="126"/>
      <c r="E417" s="130"/>
      <c r="F417" s="127" t="s">
        <v>199</v>
      </c>
      <c r="G417" s="193" t="s">
        <v>319</v>
      </c>
      <c r="H417" s="399">
        <v>1000</v>
      </c>
      <c r="I417" s="399">
        <v>1000</v>
      </c>
      <c r="J417" s="966">
        <f t="shared" si="156"/>
        <v>100</v>
      </c>
      <c r="K417" s="338"/>
      <c r="L417" s="574"/>
      <c r="M417" s="574"/>
      <c r="N417" s="1037"/>
      <c r="O417" s="338"/>
      <c r="P417" s="169">
        <f t="shared" si="148"/>
        <v>1000</v>
      </c>
      <c r="Q417" s="169">
        <f t="shared" si="149"/>
        <v>1000</v>
      </c>
      <c r="R417" s="986">
        <f t="shared" si="157"/>
        <v>100</v>
      </c>
    </row>
    <row r="418" spans="2:18" ht="12" customHeight="1" x14ac:dyDescent="0.2">
      <c r="B418" s="172">
        <f t="shared" si="140"/>
        <v>413</v>
      </c>
      <c r="C418" s="126"/>
      <c r="D418" s="126"/>
      <c r="E418" s="130"/>
      <c r="F418" s="127" t="s">
        <v>200</v>
      </c>
      <c r="G418" s="193" t="s">
        <v>247</v>
      </c>
      <c r="H418" s="399">
        <f>2000-1000</f>
        <v>1000</v>
      </c>
      <c r="I418" s="399">
        <v>1000</v>
      </c>
      <c r="J418" s="966">
        <f t="shared" si="156"/>
        <v>100</v>
      </c>
      <c r="K418" s="338"/>
      <c r="L418" s="574"/>
      <c r="M418" s="574"/>
      <c r="N418" s="1037"/>
      <c r="O418" s="338"/>
      <c r="P418" s="169">
        <f t="shared" si="148"/>
        <v>1000</v>
      </c>
      <c r="Q418" s="169">
        <f t="shared" si="149"/>
        <v>1000</v>
      </c>
      <c r="R418" s="986">
        <f t="shared" si="157"/>
        <v>100</v>
      </c>
    </row>
    <row r="419" spans="2:18" ht="12" customHeight="1" x14ac:dyDescent="0.2">
      <c r="B419" s="172">
        <f t="shared" si="140"/>
        <v>414</v>
      </c>
      <c r="C419" s="126"/>
      <c r="D419" s="126"/>
      <c r="E419" s="130"/>
      <c r="F419" s="127" t="s">
        <v>216</v>
      </c>
      <c r="G419" s="193" t="s">
        <v>248</v>
      </c>
      <c r="H419" s="399">
        <f>2500-700</f>
        <v>1800</v>
      </c>
      <c r="I419" s="399">
        <v>1800</v>
      </c>
      <c r="J419" s="966">
        <f t="shared" si="156"/>
        <v>100</v>
      </c>
      <c r="K419" s="338"/>
      <c r="L419" s="574"/>
      <c r="M419" s="574"/>
      <c r="N419" s="1037"/>
      <c r="O419" s="338"/>
      <c r="P419" s="169">
        <f t="shared" si="148"/>
        <v>1800</v>
      </c>
      <c r="Q419" s="169">
        <f t="shared" si="149"/>
        <v>1800</v>
      </c>
      <c r="R419" s="986">
        <f t="shared" si="157"/>
        <v>100</v>
      </c>
    </row>
    <row r="420" spans="2:18" ht="12" customHeight="1" x14ac:dyDescent="0.2">
      <c r="B420" s="172">
        <f t="shared" si="140"/>
        <v>415</v>
      </c>
      <c r="C420" s="126"/>
      <c r="D420" s="126"/>
      <c r="E420" s="130"/>
      <c r="F420" s="143" t="s">
        <v>217</v>
      </c>
      <c r="G420" s="201" t="s">
        <v>505</v>
      </c>
      <c r="H420" s="573">
        <f>2270-1270</f>
        <v>1000</v>
      </c>
      <c r="I420" s="573">
        <v>550</v>
      </c>
      <c r="J420" s="965">
        <f t="shared" si="156"/>
        <v>55.000000000000007</v>
      </c>
      <c r="K420" s="338"/>
      <c r="L420" s="574"/>
      <c r="M420" s="574"/>
      <c r="N420" s="1037"/>
      <c r="O420" s="338"/>
      <c r="P420" s="575">
        <f t="shared" si="148"/>
        <v>1000</v>
      </c>
      <c r="Q420" s="575">
        <f t="shared" si="149"/>
        <v>550</v>
      </c>
      <c r="R420" s="1001">
        <f t="shared" si="157"/>
        <v>55.000000000000007</v>
      </c>
    </row>
    <row r="421" spans="2:18" ht="15" x14ac:dyDescent="0.25">
      <c r="B421" s="172">
        <f t="shared" si="140"/>
        <v>416</v>
      </c>
      <c r="C421" s="126"/>
      <c r="D421" s="264">
        <v>5</v>
      </c>
      <c r="E421" s="176" t="s">
        <v>428</v>
      </c>
      <c r="F421" s="147" t="s">
        <v>388</v>
      </c>
      <c r="G421" s="238"/>
      <c r="H421" s="427">
        <f>H422+H423+H424+H428</f>
        <v>64376</v>
      </c>
      <c r="I421" s="427">
        <f t="shared" ref="I421" si="160">I422+I423+I424+I428</f>
        <v>64376</v>
      </c>
      <c r="J421" s="965">
        <f t="shared" si="156"/>
        <v>100</v>
      </c>
      <c r="K421" s="341"/>
      <c r="L421" s="437"/>
      <c r="M421" s="437"/>
      <c r="N421" s="1037"/>
      <c r="O421" s="341"/>
      <c r="P421" s="344">
        <f t="shared" si="148"/>
        <v>64376</v>
      </c>
      <c r="Q421" s="344">
        <f t="shared" si="149"/>
        <v>64376</v>
      </c>
      <c r="R421" s="1001">
        <f t="shared" si="157"/>
        <v>100</v>
      </c>
    </row>
    <row r="422" spans="2:18" ht="12" customHeight="1" x14ac:dyDescent="0.2">
      <c r="B422" s="172">
        <f t="shared" si="140"/>
        <v>417</v>
      </c>
      <c r="C422" s="126"/>
      <c r="D422" s="126"/>
      <c r="E422" s="130"/>
      <c r="F422" s="143" t="s">
        <v>211</v>
      </c>
      <c r="G422" s="201" t="s">
        <v>506</v>
      </c>
      <c r="H422" s="573">
        <f>40530+2027+2382</f>
        <v>44939</v>
      </c>
      <c r="I422" s="573">
        <v>44269</v>
      </c>
      <c r="J422" s="965">
        <f t="shared" si="156"/>
        <v>98.509090099913209</v>
      </c>
      <c r="K422" s="338"/>
      <c r="L422" s="574"/>
      <c r="M422" s="574"/>
      <c r="N422" s="1037"/>
      <c r="O422" s="338"/>
      <c r="P422" s="575">
        <f t="shared" si="148"/>
        <v>44939</v>
      </c>
      <c r="Q422" s="575">
        <f t="shared" si="149"/>
        <v>44269</v>
      </c>
      <c r="R422" s="1001">
        <f t="shared" si="157"/>
        <v>98.509090099913209</v>
      </c>
    </row>
    <row r="423" spans="2:18" ht="12" customHeight="1" x14ac:dyDescent="0.2">
      <c r="B423" s="172">
        <f t="shared" si="140"/>
        <v>418</v>
      </c>
      <c r="C423" s="126"/>
      <c r="D423" s="126"/>
      <c r="E423" s="130"/>
      <c r="F423" s="143" t="s">
        <v>212</v>
      </c>
      <c r="G423" s="201" t="s">
        <v>259</v>
      </c>
      <c r="H423" s="573">
        <f>12955+648+834</f>
        <v>14437</v>
      </c>
      <c r="I423" s="573">
        <v>15178</v>
      </c>
      <c r="J423" s="965">
        <f t="shared" si="156"/>
        <v>105.13264528641683</v>
      </c>
      <c r="K423" s="338"/>
      <c r="L423" s="574"/>
      <c r="M423" s="574"/>
      <c r="N423" s="1037"/>
      <c r="O423" s="338"/>
      <c r="P423" s="575">
        <f t="shared" si="148"/>
        <v>14437</v>
      </c>
      <c r="Q423" s="575">
        <f t="shared" si="149"/>
        <v>15178</v>
      </c>
      <c r="R423" s="1001">
        <f t="shared" si="157"/>
        <v>105.13264528641683</v>
      </c>
    </row>
    <row r="424" spans="2:18" ht="12" customHeight="1" x14ac:dyDescent="0.2">
      <c r="B424" s="172">
        <f t="shared" si="140"/>
        <v>419</v>
      </c>
      <c r="C424" s="126"/>
      <c r="D424" s="126"/>
      <c r="E424" s="130"/>
      <c r="F424" s="143" t="s">
        <v>218</v>
      </c>
      <c r="G424" s="201" t="s">
        <v>341</v>
      </c>
      <c r="H424" s="573">
        <f>SUM(H425:H427)</f>
        <v>4800</v>
      </c>
      <c r="I424" s="573">
        <f t="shared" ref="I424" si="161">SUM(I425:I427)</f>
        <v>4892</v>
      </c>
      <c r="J424" s="965">
        <f t="shared" si="156"/>
        <v>101.91666666666667</v>
      </c>
      <c r="K424" s="338"/>
      <c r="L424" s="574"/>
      <c r="M424" s="574"/>
      <c r="N424" s="1037"/>
      <c r="O424" s="338"/>
      <c r="P424" s="575">
        <f t="shared" si="148"/>
        <v>4800</v>
      </c>
      <c r="Q424" s="575">
        <f t="shared" si="149"/>
        <v>4892</v>
      </c>
      <c r="R424" s="1001">
        <f t="shared" si="157"/>
        <v>101.91666666666667</v>
      </c>
    </row>
    <row r="425" spans="2:18" ht="12" customHeight="1" x14ac:dyDescent="0.2">
      <c r="B425" s="172">
        <f t="shared" si="140"/>
        <v>420</v>
      </c>
      <c r="C425" s="126"/>
      <c r="D425" s="126"/>
      <c r="E425" s="130"/>
      <c r="F425" s="127" t="s">
        <v>199</v>
      </c>
      <c r="G425" s="193" t="s">
        <v>319</v>
      </c>
      <c r="H425" s="399">
        <f>300-250</f>
        <v>50</v>
      </c>
      <c r="I425" s="399">
        <v>137</v>
      </c>
      <c r="J425" s="966">
        <f t="shared" si="156"/>
        <v>274</v>
      </c>
      <c r="K425" s="338"/>
      <c r="L425" s="574"/>
      <c r="M425" s="574"/>
      <c r="N425" s="1037"/>
      <c r="O425" s="338"/>
      <c r="P425" s="169">
        <f t="shared" si="148"/>
        <v>50</v>
      </c>
      <c r="Q425" s="169">
        <f t="shared" si="149"/>
        <v>137</v>
      </c>
      <c r="R425" s="986">
        <f t="shared" si="157"/>
        <v>274</v>
      </c>
    </row>
    <row r="426" spans="2:18" ht="12" customHeight="1" x14ac:dyDescent="0.2">
      <c r="B426" s="172">
        <f t="shared" si="140"/>
        <v>421</v>
      </c>
      <c r="C426" s="126"/>
      <c r="D426" s="126"/>
      <c r="E426" s="130"/>
      <c r="F426" s="127" t="s">
        <v>200</v>
      </c>
      <c r="G426" s="193" t="s">
        <v>247</v>
      </c>
      <c r="H426" s="399">
        <f>1200+3050</f>
        <v>4250</v>
      </c>
      <c r="I426" s="399">
        <v>4155</v>
      </c>
      <c r="J426" s="966">
        <f t="shared" si="156"/>
        <v>97.764705882352942</v>
      </c>
      <c r="K426" s="338"/>
      <c r="L426" s="574"/>
      <c r="M426" s="574"/>
      <c r="N426" s="1037"/>
      <c r="O426" s="338"/>
      <c r="P426" s="169">
        <f t="shared" si="148"/>
        <v>4250</v>
      </c>
      <c r="Q426" s="169">
        <f t="shared" si="149"/>
        <v>4155</v>
      </c>
      <c r="R426" s="986">
        <f t="shared" si="157"/>
        <v>97.764705882352942</v>
      </c>
    </row>
    <row r="427" spans="2:18" ht="12" customHeight="1" x14ac:dyDescent="0.2">
      <c r="B427" s="172">
        <f t="shared" ref="B427:B489" si="162">B426+1</f>
        <v>422</v>
      </c>
      <c r="C427" s="126"/>
      <c r="D427" s="126"/>
      <c r="E427" s="130"/>
      <c r="F427" s="127" t="s">
        <v>216</v>
      </c>
      <c r="G427" s="193" t="s">
        <v>248</v>
      </c>
      <c r="H427" s="399">
        <v>500</v>
      </c>
      <c r="I427" s="399">
        <v>600</v>
      </c>
      <c r="J427" s="966">
        <f t="shared" si="156"/>
        <v>120</v>
      </c>
      <c r="K427" s="338"/>
      <c r="L427" s="574"/>
      <c r="M427" s="574"/>
      <c r="N427" s="1037"/>
      <c r="O427" s="338"/>
      <c r="P427" s="169">
        <f t="shared" si="148"/>
        <v>500</v>
      </c>
      <c r="Q427" s="169">
        <f t="shared" si="149"/>
        <v>600</v>
      </c>
      <c r="R427" s="986">
        <f t="shared" si="157"/>
        <v>120</v>
      </c>
    </row>
    <row r="428" spans="2:18" ht="12" customHeight="1" x14ac:dyDescent="0.2">
      <c r="B428" s="172">
        <f t="shared" si="162"/>
        <v>423</v>
      </c>
      <c r="C428" s="126"/>
      <c r="D428" s="126"/>
      <c r="E428" s="130"/>
      <c r="F428" s="143" t="s">
        <v>217</v>
      </c>
      <c r="G428" s="201" t="s">
        <v>505</v>
      </c>
      <c r="H428" s="573">
        <f>3000-2800</f>
        <v>200</v>
      </c>
      <c r="I428" s="573">
        <v>37</v>
      </c>
      <c r="J428" s="965">
        <f t="shared" si="156"/>
        <v>18.5</v>
      </c>
      <c r="K428" s="338"/>
      <c r="L428" s="574"/>
      <c r="M428" s="574"/>
      <c r="N428" s="1037"/>
      <c r="O428" s="338"/>
      <c r="P428" s="575">
        <f t="shared" si="148"/>
        <v>200</v>
      </c>
      <c r="Q428" s="575">
        <f t="shared" si="149"/>
        <v>37</v>
      </c>
      <c r="R428" s="1001">
        <f t="shared" si="157"/>
        <v>18.5</v>
      </c>
    </row>
    <row r="429" spans="2:18" ht="15" x14ac:dyDescent="0.25">
      <c r="B429" s="172">
        <f t="shared" si="162"/>
        <v>424</v>
      </c>
      <c r="C429" s="126"/>
      <c r="D429" s="264">
        <v>6</v>
      </c>
      <c r="E429" s="176" t="s">
        <v>428</v>
      </c>
      <c r="F429" s="147" t="s">
        <v>389</v>
      </c>
      <c r="G429" s="238"/>
      <c r="H429" s="427">
        <f>H430+H431+H432</f>
        <v>46296</v>
      </c>
      <c r="I429" s="427">
        <f t="shared" ref="I429" si="163">I430+I431+I432</f>
        <v>46296</v>
      </c>
      <c r="J429" s="965">
        <f t="shared" si="156"/>
        <v>100</v>
      </c>
      <c r="K429" s="341"/>
      <c r="L429" s="437"/>
      <c r="M429" s="437"/>
      <c r="N429" s="1037"/>
      <c r="O429" s="341"/>
      <c r="P429" s="344">
        <f t="shared" si="148"/>
        <v>46296</v>
      </c>
      <c r="Q429" s="344">
        <f t="shared" si="149"/>
        <v>46296</v>
      </c>
      <c r="R429" s="1001">
        <f t="shared" si="157"/>
        <v>100</v>
      </c>
    </row>
    <row r="430" spans="2:18" ht="12" customHeight="1" x14ac:dyDescent="0.2">
      <c r="B430" s="172">
        <f t="shared" si="162"/>
        <v>425</v>
      </c>
      <c r="C430" s="126"/>
      <c r="D430" s="126"/>
      <c r="E430" s="130"/>
      <c r="F430" s="143" t="s">
        <v>211</v>
      </c>
      <c r="G430" s="201" t="s">
        <v>506</v>
      </c>
      <c r="H430" s="573">
        <f>30845+1542</f>
        <v>32387</v>
      </c>
      <c r="I430" s="573">
        <v>31949</v>
      </c>
      <c r="J430" s="965">
        <f t="shared" si="156"/>
        <v>98.647605520733634</v>
      </c>
      <c r="K430" s="338"/>
      <c r="L430" s="574"/>
      <c r="M430" s="574"/>
      <c r="N430" s="1037"/>
      <c r="O430" s="338"/>
      <c r="P430" s="575">
        <f t="shared" si="148"/>
        <v>32387</v>
      </c>
      <c r="Q430" s="575">
        <f t="shared" si="149"/>
        <v>31949</v>
      </c>
      <c r="R430" s="1001">
        <f t="shared" si="157"/>
        <v>98.647605520733634</v>
      </c>
    </row>
    <row r="431" spans="2:18" ht="12" customHeight="1" x14ac:dyDescent="0.2">
      <c r="B431" s="172">
        <f t="shared" si="162"/>
        <v>426</v>
      </c>
      <c r="C431" s="126"/>
      <c r="D431" s="126"/>
      <c r="E431" s="130"/>
      <c r="F431" s="143" t="s">
        <v>212</v>
      </c>
      <c r="G431" s="201" t="s">
        <v>259</v>
      </c>
      <c r="H431" s="573">
        <f>10780+539</f>
        <v>11319</v>
      </c>
      <c r="I431" s="573">
        <v>11757</v>
      </c>
      <c r="J431" s="965">
        <f t="shared" si="156"/>
        <v>103.86959978796713</v>
      </c>
      <c r="K431" s="338"/>
      <c r="L431" s="574"/>
      <c r="M431" s="574"/>
      <c r="N431" s="1037"/>
      <c r="O431" s="338"/>
      <c r="P431" s="575">
        <f t="shared" si="148"/>
        <v>11319</v>
      </c>
      <c r="Q431" s="575">
        <f t="shared" si="149"/>
        <v>11757</v>
      </c>
      <c r="R431" s="1001">
        <f t="shared" si="157"/>
        <v>103.86959978796713</v>
      </c>
    </row>
    <row r="432" spans="2:18" ht="12" customHeight="1" x14ac:dyDescent="0.2">
      <c r="B432" s="172">
        <f t="shared" si="162"/>
        <v>427</v>
      </c>
      <c r="C432" s="126"/>
      <c r="D432" s="126"/>
      <c r="E432" s="130"/>
      <c r="F432" s="143" t="s">
        <v>218</v>
      </c>
      <c r="G432" s="201" t="s">
        <v>341</v>
      </c>
      <c r="H432" s="573">
        <f>SUM(H433:H435)</f>
        <v>2590</v>
      </c>
      <c r="I432" s="573">
        <f t="shared" ref="I432" si="164">SUM(I433:I435)</f>
        <v>2590</v>
      </c>
      <c r="J432" s="965">
        <f t="shared" si="156"/>
        <v>100</v>
      </c>
      <c r="K432" s="338"/>
      <c r="L432" s="574"/>
      <c r="M432" s="574"/>
      <c r="N432" s="1037"/>
      <c r="O432" s="338"/>
      <c r="P432" s="575">
        <f t="shared" si="148"/>
        <v>2590</v>
      </c>
      <c r="Q432" s="575">
        <f t="shared" si="149"/>
        <v>2590</v>
      </c>
      <c r="R432" s="1001">
        <f t="shared" si="157"/>
        <v>100</v>
      </c>
    </row>
    <row r="433" spans="2:18" ht="12" customHeight="1" x14ac:dyDescent="0.2">
      <c r="B433" s="172">
        <f t="shared" si="162"/>
        <v>428</v>
      </c>
      <c r="C433" s="126"/>
      <c r="D433" s="126"/>
      <c r="E433" s="130"/>
      <c r="F433" s="127" t="s">
        <v>199</v>
      </c>
      <c r="G433" s="193" t="s">
        <v>319</v>
      </c>
      <c r="H433" s="399">
        <f>1700-500</f>
        <v>1200</v>
      </c>
      <c r="I433" s="399">
        <v>1142</v>
      </c>
      <c r="J433" s="966">
        <f t="shared" si="156"/>
        <v>95.166666666666671</v>
      </c>
      <c r="K433" s="338"/>
      <c r="L433" s="574"/>
      <c r="M433" s="574"/>
      <c r="N433" s="1037"/>
      <c r="O433" s="338"/>
      <c r="P433" s="169">
        <f t="shared" si="148"/>
        <v>1200</v>
      </c>
      <c r="Q433" s="169">
        <f t="shared" si="149"/>
        <v>1142</v>
      </c>
      <c r="R433" s="986">
        <f t="shared" si="157"/>
        <v>95.166666666666671</v>
      </c>
    </row>
    <row r="434" spans="2:18" ht="12" customHeight="1" x14ac:dyDescent="0.2">
      <c r="B434" s="172">
        <f t="shared" si="162"/>
        <v>429</v>
      </c>
      <c r="C434" s="126"/>
      <c r="D434" s="126"/>
      <c r="E434" s="130"/>
      <c r="F434" s="127" t="s">
        <v>200</v>
      </c>
      <c r="G434" s="193" t="s">
        <v>247</v>
      </c>
      <c r="H434" s="399">
        <f>100+500-58</f>
        <v>542</v>
      </c>
      <c r="I434" s="399">
        <v>572</v>
      </c>
      <c r="J434" s="966">
        <f t="shared" si="156"/>
        <v>105.53505535055349</v>
      </c>
      <c r="K434" s="338"/>
      <c r="L434" s="574"/>
      <c r="M434" s="574"/>
      <c r="N434" s="1037"/>
      <c r="O434" s="338"/>
      <c r="P434" s="169">
        <f t="shared" si="148"/>
        <v>542</v>
      </c>
      <c r="Q434" s="169">
        <f t="shared" si="149"/>
        <v>572</v>
      </c>
      <c r="R434" s="986">
        <f t="shared" si="157"/>
        <v>105.53505535055349</v>
      </c>
    </row>
    <row r="435" spans="2:18" ht="12" customHeight="1" x14ac:dyDescent="0.2">
      <c r="B435" s="172">
        <f t="shared" si="162"/>
        <v>430</v>
      </c>
      <c r="C435" s="126"/>
      <c r="D435" s="126"/>
      <c r="E435" s="130"/>
      <c r="F435" s="127" t="s">
        <v>216</v>
      </c>
      <c r="G435" s="193" t="s">
        <v>248</v>
      </c>
      <c r="H435" s="399">
        <f>790+58</f>
        <v>848</v>
      </c>
      <c r="I435" s="399">
        <v>876</v>
      </c>
      <c r="J435" s="966">
        <f t="shared" si="156"/>
        <v>103.30188679245282</v>
      </c>
      <c r="K435" s="338"/>
      <c r="L435" s="574"/>
      <c r="M435" s="574"/>
      <c r="N435" s="1037"/>
      <c r="O435" s="338"/>
      <c r="P435" s="169">
        <f t="shared" si="148"/>
        <v>848</v>
      </c>
      <c r="Q435" s="169">
        <f t="shared" si="149"/>
        <v>876</v>
      </c>
      <c r="R435" s="986">
        <f t="shared" si="157"/>
        <v>103.30188679245282</v>
      </c>
    </row>
    <row r="436" spans="2:18" ht="15" x14ac:dyDescent="0.25">
      <c r="B436" s="172">
        <f t="shared" si="162"/>
        <v>431</v>
      </c>
      <c r="C436" s="126"/>
      <c r="D436" s="264">
        <v>7</v>
      </c>
      <c r="E436" s="176" t="s">
        <v>428</v>
      </c>
      <c r="F436" s="147" t="s">
        <v>390</v>
      </c>
      <c r="G436" s="238"/>
      <c r="H436" s="427">
        <f>H437+H438+H439</f>
        <v>36058</v>
      </c>
      <c r="I436" s="427">
        <f>I437+I438+I439</f>
        <v>36058</v>
      </c>
      <c r="J436" s="965">
        <f t="shared" si="156"/>
        <v>100</v>
      </c>
      <c r="K436" s="341"/>
      <c r="L436" s="437"/>
      <c r="M436" s="437"/>
      <c r="N436" s="1037"/>
      <c r="O436" s="341"/>
      <c r="P436" s="344">
        <f t="shared" si="148"/>
        <v>36058</v>
      </c>
      <c r="Q436" s="344">
        <f t="shared" si="149"/>
        <v>36058</v>
      </c>
      <c r="R436" s="1001">
        <f t="shared" si="157"/>
        <v>100</v>
      </c>
    </row>
    <row r="437" spans="2:18" ht="12" customHeight="1" x14ac:dyDescent="0.2">
      <c r="B437" s="172">
        <f t="shared" si="162"/>
        <v>432</v>
      </c>
      <c r="C437" s="126"/>
      <c r="D437" s="126"/>
      <c r="E437" s="130"/>
      <c r="F437" s="143" t="s">
        <v>211</v>
      </c>
      <c r="G437" s="201" t="s">
        <v>506</v>
      </c>
      <c r="H437" s="573">
        <f>22570+1129+100</f>
        <v>23799</v>
      </c>
      <c r="I437" s="573">
        <v>23932</v>
      </c>
      <c r="J437" s="965">
        <f t="shared" si="156"/>
        <v>100.55884701037859</v>
      </c>
      <c r="K437" s="338"/>
      <c r="L437" s="574"/>
      <c r="M437" s="574"/>
      <c r="N437" s="1037"/>
      <c r="O437" s="338"/>
      <c r="P437" s="575">
        <f t="shared" si="148"/>
        <v>23799</v>
      </c>
      <c r="Q437" s="575">
        <f t="shared" si="149"/>
        <v>23932</v>
      </c>
      <c r="R437" s="1001">
        <f t="shared" si="157"/>
        <v>100.55884701037859</v>
      </c>
    </row>
    <row r="438" spans="2:18" ht="12" customHeight="1" x14ac:dyDescent="0.2">
      <c r="B438" s="172">
        <f t="shared" si="162"/>
        <v>433</v>
      </c>
      <c r="C438" s="126"/>
      <c r="D438" s="126"/>
      <c r="E438" s="130"/>
      <c r="F438" s="143" t="s">
        <v>212</v>
      </c>
      <c r="G438" s="201" t="s">
        <v>259</v>
      </c>
      <c r="H438" s="573">
        <f>7885+394+50</f>
        <v>8329</v>
      </c>
      <c r="I438" s="573">
        <v>8196</v>
      </c>
      <c r="J438" s="965">
        <f t="shared" si="156"/>
        <v>98.403169648217073</v>
      </c>
      <c r="K438" s="338"/>
      <c r="L438" s="574"/>
      <c r="M438" s="574"/>
      <c r="N438" s="1037"/>
      <c r="O438" s="338"/>
      <c r="P438" s="575">
        <f t="shared" si="148"/>
        <v>8329</v>
      </c>
      <c r="Q438" s="575">
        <f t="shared" si="149"/>
        <v>8196</v>
      </c>
      <c r="R438" s="1001">
        <f t="shared" si="157"/>
        <v>98.403169648217073</v>
      </c>
    </row>
    <row r="439" spans="2:18" ht="12" customHeight="1" x14ac:dyDescent="0.2">
      <c r="B439" s="172">
        <f t="shared" si="162"/>
        <v>434</v>
      </c>
      <c r="C439" s="126"/>
      <c r="D439" s="126"/>
      <c r="E439" s="130"/>
      <c r="F439" s="143" t="s">
        <v>218</v>
      </c>
      <c r="G439" s="201" t="s">
        <v>341</v>
      </c>
      <c r="H439" s="573">
        <f>SUM(H440:H442)</f>
        <v>3930</v>
      </c>
      <c r="I439" s="573">
        <f t="shared" ref="I439" si="165">SUM(I440:I442)</f>
        <v>3930</v>
      </c>
      <c r="J439" s="965">
        <f t="shared" si="156"/>
        <v>100</v>
      </c>
      <c r="K439" s="338"/>
      <c r="L439" s="574"/>
      <c r="M439" s="574"/>
      <c r="N439" s="1037"/>
      <c r="O439" s="338"/>
      <c r="P439" s="575">
        <f t="shared" si="148"/>
        <v>3930</v>
      </c>
      <c r="Q439" s="575">
        <f t="shared" si="149"/>
        <v>3930</v>
      </c>
      <c r="R439" s="1001">
        <f t="shared" si="157"/>
        <v>100</v>
      </c>
    </row>
    <row r="440" spans="2:18" ht="12" customHeight="1" x14ac:dyDescent="0.2">
      <c r="B440" s="172">
        <f t="shared" si="162"/>
        <v>435</v>
      </c>
      <c r="C440" s="126"/>
      <c r="D440" s="126"/>
      <c r="E440" s="130"/>
      <c r="F440" s="127" t="s">
        <v>199</v>
      </c>
      <c r="G440" s="193" t="s">
        <v>319</v>
      </c>
      <c r="H440" s="399">
        <v>1560</v>
      </c>
      <c r="I440" s="399">
        <v>1560</v>
      </c>
      <c r="J440" s="966">
        <f t="shared" si="156"/>
        <v>100</v>
      </c>
      <c r="K440" s="338"/>
      <c r="L440" s="574"/>
      <c r="M440" s="574"/>
      <c r="N440" s="1037"/>
      <c r="O440" s="338"/>
      <c r="P440" s="169">
        <f t="shared" si="148"/>
        <v>1560</v>
      </c>
      <c r="Q440" s="169">
        <f t="shared" si="149"/>
        <v>1560</v>
      </c>
      <c r="R440" s="986">
        <f t="shared" si="157"/>
        <v>100</v>
      </c>
    </row>
    <row r="441" spans="2:18" ht="12" customHeight="1" x14ac:dyDescent="0.2">
      <c r="B441" s="172">
        <f t="shared" si="162"/>
        <v>436</v>
      </c>
      <c r="C441" s="126"/>
      <c r="D441" s="126"/>
      <c r="E441" s="130"/>
      <c r="F441" s="127" t="s">
        <v>200</v>
      </c>
      <c r="G441" s="193" t="s">
        <v>247</v>
      </c>
      <c r="H441" s="399">
        <v>680</v>
      </c>
      <c r="I441" s="399">
        <v>680</v>
      </c>
      <c r="J441" s="966">
        <f t="shared" si="156"/>
        <v>100</v>
      </c>
      <c r="K441" s="338"/>
      <c r="L441" s="574"/>
      <c r="M441" s="574"/>
      <c r="N441" s="1037"/>
      <c r="O441" s="338"/>
      <c r="P441" s="169">
        <f t="shared" si="148"/>
        <v>680</v>
      </c>
      <c r="Q441" s="169">
        <f t="shared" si="149"/>
        <v>680</v>
      </c>
      <c r="R441" s="986">
        <f t="shared" si="157"/>
        <v>100</v>
      </c>
    </row>
    <row r="442" spans="2:18" ht="12" customHeight="1" x14ac:dyDescent="0.2">
      <c r="B442" s="172">
        <f t="shared" si="162"/>
        <v>437</v>
      </c>
      <c r="C442" s="126"/>
      <c r="D442" s="126"/>
      <c r="E442" s="130"/>
      <c r="F442" s="127" t="s">
        <v>216</v>
      </c>
      <c r="G442" s="193" t="s">
        <v>248</v>
      </c>
      <c r="H442" s="399">
        <v>1690</v>
      </c>
      <c r="I442" s="399">
        <v>1690</v>
      </c>
      <c r="J442" s="966">
        <f t="shared" si="156"/>
        <v>100</v>
      </c>
      <c r="K442" s="338"/>
      <c r="L442" s="574"/>
      <c r="M442" s="574"/>
      <c r="N442" s="1037"/>
      <c r="O442" s="338"/>
      <c r="P442" s="169">
        <f t="shared" si="148"/>
        <v>1690</v>
      </c>
      <c r="Q442" s="169">
        <f t="shared" si="149"/>
        <v>1690</v>
      </c>
      <c r="R442" s="986">
        <f t="shared" si="157"/>
        <v>100</v>
      </c>
    </row>
    <row r="443" spans="2:18" ht="15" x14ac:dyDescent="0.25">
      <c r="B443" s="172">
        <f t="shared" si="162"/>
        <v>438</v>
      </c>
      <c r="C443" s="126"/>
      <c r="D443" s="264">
        <v>8</v>
      </c>
      <c r="E443" s="176" t="s">
        <v>428</v>
      </c>
      <c r="F443" s="147" t="s">
        <v>391</v>
      </c>
      <c r="G443" s="238"/>
      <c r="H443" s="427">
        <f>H444+H445+H446+H450</f>
        <v>74520</v>
      </c>
      <c r="I443" s="427">
        <f t="shared" ref="I443" si="166">I444+I445+I446+I450</f>
        <v>74520</v>
      </c>
      <c r="J443" s="965">
        <f t="shared" si="156"/>
        <v>100</v>
      </c>
      <c r="K443" s="341"/>
      <c r="L443" s="437"/>
      <c r="M443" s="437"/>
      <c r="N443" s="1037"/>
      <c r="O443" s="341"/>
      <c r="P443" s="344">
        <f t="shared" si="148"/>
        <v>74520</v>
      </c>
      <c r="Q443" s="344">
        <f t="shared" si="149"/>
        <v>74520</v>
      </c>
      <c r="R443" s="1001">
        <f t="shared" si="157"/>
        <v>100</v>
      </c>
    </row>
    <row r="444" spans="2:18" ht="12" customHeight="1" x14ac:dyDescent="0.2">
      <c r="B444" s="172">
        <f t="shared" si="162"/>
        <v>439</v>
      </c>
      <c r="C444" s="126"/>
      <c r="D444" s="126"/>
      <c r="E444" s="130"/>
      <c r="F444" s="143" t="s">
        <v>211</v>
      </c>
      <c r="G444" s="201" t="s">
        <v>506</v>
      </c>
      <c r="H444" s="573">
        <f>45790+2290+1500</f>
        <v>49580</v>
      </c>
      <c r="I444" s="573">
        <v>50232</v>
      </c>
      <c r="J444" s="965">
        <f t="shared" si="156"/>
        <v>101.31504638967326</v>
      </c>
      <c r="K444" s="338"/>
      <c r="L444" s="574"/>
      <c r="M444" s="574"/>
      <c r="N444" s="1037"/>
      <c r="O444" s="338"/>
      <c r="P444" s="575">
        <f t="shared" si="148"/>
        <v>49580</v>
      </c>
      <c r="Q444" s="575">
        <f t="shared" si="149"/>
        <v>50232</v>
      </c>
      <c r="R444" s="1001">
        <f t="shared" si="157"/>
        <v>101.31504638967326</v>
      </c>
    </row>
    <row r="445" spans="2:18" ht="12" customHeight="1" x14ac:dyDescent="0.2">
      <c r="B445" s="172">
        <f t="shared" si="162"/>
        <v>440</v>
      </c>
      <c r="C445" s="126"/>
      <c r="D445" s="126"/>
      <c r="E445" s="130"/>
      <c r="F445" s="143" t="s">
        <v>212</v>
      </c>
      <c r="G445" s="201" t="s">
        <v>259</v>
      </c>
      <c r="H445" s="573">
        <f>16990+850</f>
        <v>17840</v>
      </c>
      <c r="I445" s="573">
        <v>17388</v>
      </c>
      <c r="J445" s="965">
        <f t="shared" si="156"/>
        <v>97.466367713004487</v>
      </c>
      <c r="K445" s="338"/>
      <c r="L445" s="574"/>
      <c r="M445" s="574"/>
      <c r="N445" s="1037"/>
      <c r="O445" s="338"/>
      <c r="P445" s="575">
        <f t="shared" si="148"/>
        <v>17840</v>
      </c>
      <c r="Q445" s="575">
        <f t="shared" si="149"/>
        <v>17388</v>
      </c>
      <c r="R445" s="1001">
        <f t="shared" si="157"/>
        <v>97.466367713004487</v>
      </c>
    </row>
    <row r="446" spans="2:18" ht="12" customHeight="1" x14ac:dyDescent="0.2">
      <c r="B446" s="172">
        <f t="shared" si="162"/>
        <v>441</v>
      </c>
      <c r="C446" s="126"/>
      <c r="D446" s="126"/>
      <c r="E446" s="130"/>
      <c r="F446" s="143" t="s">
        <v>218</v>
      </c>
      <c r="G446" s="201" t="s">
        <v>341</v>
      </c>
      <c r="H446" s="573">
        <f>SUM(H447:H449)</f>
        <v>6800</v>
      </c>
      <c r="I446" s="573">
        <f t="shared" ref="I446" si="167">SUM(I447:I449)</f>
        <v>6800</v>
      </c>
      <c r="J446" s="965">
        <f t="shared" si="156"/>
        <v>100</v>
      </c>
      <c r="K446" s="338"/>
      <c r="L446" s="574"/>
      <c r="M446" s="574"/>
      <c r="N446" s="1037"/>
      <c r="O446" s="338"/>
      <c r="P446" s="575">
        <f t="shared" si="148"/>
        <v>6800</v>
      </c>
      <c r="Q446" s="575">
        <f t="shared" si="149"/>
        <v>6800</v>
      </c>
      <c r="R446" s="1001">
        <f t="shared" si="157"/>
        <v>100</v>
      </c>
    </row>
    <row r="447" spans="2:18" ht="12" customHeight="1" x14ac:dyDescent="0.2">
      <c r="B447" s="172">
        <f t="shared" si="162"/>
        <v>442</v>
      </c>
      <c r="C447" s="126"/>
      <c r="D447" s="126"/>
      <c r="E447" s="130"/>
      <c r="F447" s="127" t="s">
        <v>199</v>
      </c>
      <c r="G447" s="193" t="s">
        <v>319</v>
      </c>
      <c r="H447" s="399">
        <f>6200-2200</f>
        <v>4000</v>
      </c>
      <c r="I447" s="399">
        <v>4000</v>
      </c>
      <c r="J447" s="966">
        <f t="shared" si="156"/>
        <v>100</v>
      </c>
      <c r="K447" s="338"/>
      <c r="L447" s="574"/>
      <c r="M447" s="574"/>
      <c r="N447" s="1037"/>
      <c r="O447" s="338"/>
      <c r="P447" s="169">
        <f t="shared" si="148"/>
        <v>4000</v>
      </c>
      <c r="Q447" s="169">
        <f t="shared" si="149"/>
        <v>4000</v>
      </c>
      <c r="R447" s="986">
        <f t="shared" si="157"/>
        <v>100</v>
      </c>
    </row>
    <row r="448" spans="2:18" ht="12" customHeight="1" x14ac:dyDescent="0.2">
      <c r="B448" s="172">
        <f t="shared" si="162"/>
        <v>443</v>
      </c>
      <c r="C448" s="126"/>
      <c r="D448" s="126"/>
      <c r="E448" s="130"/>
      <c r="F448" s="127" t="s">
        <v>200</v>
      </c>
      <c r="G448" s="193" t="s">
        <v>247</v>
      </c>
      <c r="H448" s="399">
        <v>950</v>
      </c>
      <c r="I448" s="399">
        <v>950</v>
      </c>
      <c r="J448" s="966">
        <f t="shared" si="156"/>
        <v>100</v>
      </c>
      <c r="K448" s="338"/>
      <c r="L448" s="574"/>
      <c r="M448" s="574"/>
      <c r="N448" s="1037"/>
      <c r="O448" s="338"/>
      <c r="P448" s="169">
        <f t="shared" si="148"/>
        <v>950</v>
      </c>
      <c r="Q448" s="169">
        <f t="shared" si="149"/>
        <v>950</v>
      </c>
      <c r="R448" s="986">
        <f t="shared" si="157"/>
        <v>100</v>
      </c>
    </row>
    <row r="449" spans="2:18" ht="12" customHeight="1" x14ac:dyDescent="0.2">
      <c r="B449" s="172">
        <f t="shared" si="162"/>
        <v>444</v>
      </c>
      <c r="C449" s="126"/>
      <c r="D449" s="126"/>
      <c r="E449" s="130"/>
      <c r="F449" s="127" t="s">
        <v>216</v>
      </c>
      <c r="G449" s="193" t="s">
        <v>248</v>
      </c>
      <c r="H449" s="399">
        <f>1150+700</f>
        <v>1850</v>
      </c>
      <c r="I449" s="399">
        <v>1850</v>
      </c>
      <c r="J449" s="966">
        <f t="shared" si="156"/>
        <v>100</v>
      </c>
      <c r="K449" s="338"/>
      <c r="L449" s="574"/>
      <c r="M449" s="574"/>
      <c r="N449" s="1037"/>
      <c r="O449" s="338"/>
      <c r="P449" s="169">
        <f t="shared" si="148"/>
        <v>1850</v>
      </c>
      <c r="Q449" s="169">
        <f t="shared" si="149"/>
        <v>1850</v>
      </c>
      <c r="R449" s="986">
        <f t="shared" si="157"/>
        <v>100</v>
      </c>
    </row>
    <row r="450" spans="2:18" ht="12" customHeight="1" x14ac:dyDescent="0.2">
      <c r="B450" s="172">
        <f t="shared" si="162"/>
        <v>445</v>
      </c>
      <c r="C450" s="126"/>
      <c r="D450" s="126"/>
      <c r="E450" s="130"/>
      <c r="F450" s="143" t="s">
        <v>217</v>
      </c>
      <c r="G450" s="201" t="s">
        <v>505</v>
      </c>
      <c r="H450" s="573">
        <v>300</v>
      </c>
      <c r="I450" s="573">
        <v>100</v>
      </c>
      <c r="J450" s="965">
        <f t="shared" si="156"/>
        <v>33.333333333333329</v>
      </c>
      <c r="K450" s="338"/>
      <c r="L450" s="574"/>
      <c r="M450" s="574"/>
      <c r="N450" s="1037"/>
      <c r="O450" s="338"/>
      <c r="P450" s="575">
        <f t="shared" si="148"/>
        <v>300</v>
      </c>
      <c r="Q450" s="575">
        <f t="shared" si="149"/>
        <v>100</v>
      </c>
      <c r="R450" s="1001">
        <f t="shared" si="157"/>
        <v>33.333333333333329</v>
      </c>
    </row>
    <row r="451" spans="2:18" ht="15" x14ac:dyDescent="0.25">
      <c r="B451" s="172">
        <f t="shared" si="162"/>
        <v>446</v>
      </c>
      <c r="C451" s="126"/>
      <c r="D451" s="264">
        <v>9</v>
      </c>
      <c r="E451" s="176" t="s">
        <v>428</v>
      </c>
      <c r="F451" s="267" t="s">
        <v>392</v>
      </c>
      <c r="G451" s="268"/>
      <c r="H451" s="429">
        <f>H452+H453+H454</f>
        <v>36850</v>
      </c>
      <c r="I451" s="429">
        <f>I452+I453+I454</f>
        <v>36850</v>
      </c>
      <c r="J451" s="995">
        <f t="shared" si="156"/>
        <v>100</v>
      </c>
      <c r="K451" s="341"/>
      <c r="L451" s="450"/>
      <c r="M451" s="450"/>
      <c r="N451" s="1042"/>
      <c r="O451" s="341"/>
      <c r="P451" s="345">
        <f t="shared" si="148"/>
        <v>36850</v>
      </c>
      <c r="Q451" s="345">
        <f t="shared" si="149"/>
        <v>36850</v>
      </c>
      <c r="R451" s="1009">
        <f t="shared" si="157"/>
        <v>100</v>
      </c>
    </row>
    <row r="452" spans="2:18" ht="12" customHeight="1" x14ac:dyDescent="0.2">
      <c r="B452" s="172">
        <f t="shared" si="162"/>
        <v>447</v>
      </c>
      <c r="C452" s="126"/>
      <c r="D452" s="126"/>
      <c r="E452" s="130"/>
      <c r="F452" s="143" t="s">
        <v>211</v>
      </c>
      <c r="G452" s="201" t="s">
        <v>506</v>
      </c>
      <c r="H452" s="573">
        <f>21255+1063</f>
        <v>22318</v>
      </c>
      <c r="I452" s="573">
        <v>22746</v>
      </c>
      <c r="J452" s="965">
        <f t="shared" si="156"/>
        <v>101.91773456402903</v>
      </c>
      <c r="K452" s="338"/>
      <c r="L452" s="574"/>
      <c r="M452" s="574"/>
      <c r="N452" s="1037"/>
      <c r="O452" s="338"/>
      <c r="P452" s="575">
        <f t="shared" ref="P452:P457" si="168">H452+L452</f>
        <v>22318</v>
      </c>
      <c r="Q452" s="575">
        <f t="shared" ref="Q452:Q457" si="169">I452+M452</f>
        <v>22746</v>
      </c>
      <c r="R452" s="1001">
        <f t="shared" si="157"/>
        <v>101.91773456402903</v>
      </c>
    </row>
    <row r="453" spans="2:18" ht="12" customHeight="1" x14ac:dyDescent="0.2">
      <c r="B453" s="172">
        <f t="shared" si="162"/>
        <v>448</v>
      </c>
      <c r="C453" s="126"/>
      <c r="D453" s="126"/>
      <c r="E453" s="130"/>
      <c r="F453" s="143" t="s">
        <v>212</v>
      </c>
      <c r="G453" s="201" t="s">
        <v>259</v>
      </c>
      <c r="H453" s="573">
        <f>7430+372</f>
        <v>7802</v>
      </c>
      <c r="I453" s="573">
        <v>7374</v>
      </c>
      <c r="J453" s="965">
        <f t="shared" si="156"/>
        <v>94.514227121250954</v>
      </c>
      <c r="K453" s="338"/>
      <c r="L453" s="574"/>
      <c r="M453" s="574"/>
      <c r="N453" s="1037"/>
      <c r="O453" s="338"/>
      <c r="P453" s="575">
        <f t="shared" si="168"/>
        <v>7802</v>
      </c>
      <c r="Q453" s="575">
        <f t="shared" si="169"/>
        <v>7374</v>
      </c>
      <c r="R453" s="1001">
        <f t="shared" si="157"/>
        <v>94.514227121250954</v>
      </c>
    </row>
    <row r="454" spans="2:18" ht="12" customHeight="1" x14ac:dyDescent="0.2">
      <c r="B454" s="172">
        <f t="shared" si="162"/>
        <v>449</v>
      </c>
      <c r="C454" s="126"/>
      <c r="D454" s="126"/>
      <c r="E454" s="130"/>
      <c r="F454" s="143" t="s">
        <v>218</v>
      </c>
      <c r="G454" s="201" t="s">
        <v>341</v>
      </c>
      <c r="H454" s="573">
        <f>SUM(H455:H457)</f>
        <v>6730</v>
      </c>
      <c r="I454" s="573">
        <f t="shared" ref="I454" si="170">SUM(I455:I457)</f>
        <v>6730</v>
      </c>
      <c r="J454" s="965">
        <f t="shared" si="156"/>
        <v>100</v>
      </c>
      <c r="K454" s="338"/>
      <c r="L454" s="574"/>
      <c r="M454" s="574"/>
      <c r="N454" s="1037"/>
      <c r="O454" s="338"/>
      <c r="P454" s="575">
        <f t="shared" si="168"/>
        <v>6730</v>
      </c>
      <c r="Q454" s="575">
        <f t="shared" si="169"/>
        <v>6730</v>
      </c>
      <c r="R454" s="1001">
        <f t="shared" si="157"/>
        <v>100</v>
      </c>
    </row>
    <row r="455" spans="2:18" ht="12" customHeight="1" x14ac:dyDescent="0.2">
      <c r="B455" s="172">
        <f t="shared" si="162"/>
        <v>450</v>
      </c>
      <c r="C455" s="126"/>
      <c r="D455" s="126"/>
      <c r="E455" s="130"/>
      <c r="F455" s="127" t="s">
        <v>199</v>
      </c>
      <c r="G455" s="193" t="s">
        <v>319</v>
      </c>
      <c r="H455" s="399">
        <f>4770+900</f>
        <v>5670</v>
      </c>
      <c r="I455" s="399">
        <v>5670</v>
      </c>
      <c r="J455" s="966">
        <f t="shared" si="156"/>
        <v>100</v>
      </c>
      <c r="K455" s="338"/>
      <c r="L455" s="574"/>
      <c r="M455" s="574"/>
      <c r="N455" s="1037"/>
      <c r="O455" s="338"/>
      <c r="P455" s="169">
        <f t="shared" si="168"/>
        <v>5670</v>
      </c>
      <c r="Q455" s="169">
        <f t="shared" si="169"/>
        <v>5670</v>
      </c>
      <c r="R455" s="986">
        <f t="shared" si="157"/>
        <v>100</v>
      </c>
    </row>
    <row r="456" spans="2:18" ht="12" customHeight="1" x14ac:dyDescent="0.2">
      <c r="B456" s="172">
        <f t="shared" si="162"/>
        <v>451</v>
      </c>
      <c r="C456" s="126"/>
      <c r="D456" s="126"/>
      <c r="E456" s="130"/>
      <c r="F456" s="127" t="s">
        <v>200</v>
      </c>
      <c r="G456" s="193" t="s">
        <v>247</v>
      </c>
      <c r="H456" s="399">
        <f>120+300+50</f>
        <v>470</v>
      </c>
      <c r="I456" s="399">
        <v>470</v>
      </c>
      <c r="J456" s="966">
        <f t="shared" si="156"/>
        <v>100</v>
      </c>
      <c r="K456" s="338"/>
      <c r="L456" s="574"/>
      <c r="M456" s="574"/>
      <c r="N456" s="1037"/>
      <c r="O456" s="338"/>
      <c r="P456" s="169">
        <f t="shared" si="168"/>
        <v>470</v>
      </c>
      <c r="Q456" s="169">
        <f t="shared" si="169"/>
        <v>470</v>
      </c>
      <c r="R456" s="986">
        <f t="shared" si="157"/>
        <v>100</v>
      </c>
    </row>
    <row r="457" spans="2:18" ht="12" customHeight="1" x14ac:dyDescent="0.2">
      <c r="B457" s="172">
        <f t="shared" si="162"/>
        <v>452</v>
      </c>
      <c r="C457" s="126"/>
      <c r="D457" s="126"/>
      <c r="E457" s="130"/>
      <c r="F457" s="127" t="s">
        <v>216</v>
      </c>
      <c r="G457" s="193" t="s">
        <v>248</v>
      </c>
      <c r="H457" s="399">
        <v>590</v>
      </c>
      <c r="I457" s="399">
        <v>590</v>
      </c>
      <c r="J457" s="966">
        <f t="shared" si="156"/>
        <v>100</v>
      </c>
      <c r="K457" s="338"/>
      <c r="L457" s="574"/>
      <c r="M457" s="574"/>
      <c r="N457" s="1037"/>
      <c r="O457" s="338"/>
      <c r="P457" s="169">
        <f t="shared" si="168"/>
        <v>590</v>
      </c>
      <c r="Q457" s="169">
        <f t="shared" si="169"/>
        <v>590</v>
      </c>
      <c r="R457" s="986">
        <f t="shared" si="157"/>
        <v>100</v>
      </c>
    </row>
    <row r="458" spans="2:18" x14ac:dyDescent="0.2">
      <c r="B458" s="172">
        <f t="shared" si="162"/>
        <v>453</v>
      </c>
      <c r="C458" s="126"/>
      <c r="D458" s="126"/>
      <c r="E458" s="130"/>
      <c r="F458" s="130"/>
      <c r="G458" s="201"/>
      <c r="H458" s="570"/>
      <c r="I458" s="570"/>
      <c r="J458" s="966"/>
      <c r="K458" s="148"/>
      <c r="L458" s="139"/>
      <c r="M458" s="139"/>
      <c r="N458" s="1037"/>
      <c r="O458" s="148"/>
      <c r="P458" s="169"/>
      <c r="Q458" s="169"/>
      <c r="R458" s="986"/>
    </row>
    <row r="459" spans="2:18" ht="12" customHeight="1" x14ac:dyDescent="0.2">
      <c r="B459" s="172">
        <f t="shared" si="162"/>
        <v>454</v>
      </c>
      <c r="C459" s="126"/>
      <c r="D459" s="126"/>
      <c r="E459" s="130"/>
      <c r="F459" s="287">
        <v>640</v>
      </c>
      <c r="G459" s="288" t="s">
        <v>393</v>
      </c>
      <c r="H459" s="434">
        <v>14787</v>
      </c>
      <c r="I459" s="434">
        <v>14787</v>
      </c>
      <c r="J459" s="965">
        <f t="shared" si="156"/>
        <v>100</v>
      </c>
      <c r="K459" s="128"/>
      <c r="L459" s="438"/>
      <c r="M459" s="438"/>
      <c r="N459" s="1037"/>
      <c r="O459" s="128"/>
      <c r="P459" s="289">
        <f>H459+L459</f>
        <v>14787</v>
      </c>
      <c r="Q459" s="289">
        <f t="shared" ref="Q459:Q462" si="171">I459+M459</f>
        <v>14787</v>
      </c>
      <c r="R459" s="1001">
        <f t="shared" si="157"/>
        <v>100</v>
      </c>
    </row>
    <row r="460" spans="2:18" ht="12" customHeight="1" x14ac:dyDescent="0.2">
      <c r="B460" s="172">
        <f t="shared" si="162"/>
        <v>455</v>
      </c>
      <c r="C460" s="126"/>
      <c r="D460" s="126"/>
      <c r="E460" s="130"/>
      <c r="F460" s="287">
        <v>640</v>
      </c>
      <c r="G460" s="288" t="s">
        <v>394</v>
      </c>
      <c r="H460" s="434">
        <v>9438</v>
      </c>
      <c r="I460" s="434">
        <v>8206</v>
      </c>
      <c r="J460" s="965">
        <f t="shared" si="156"/>
        <v>86.946386946386951</v>
      </c>
      <c r="K460" s="128"/>
      <c r="L460" s="438"/>
      <c r="M460" s="438"/>
      <c r="N460" s="1037"/>
      <c r="O460" s="128"/>
      <c r="P460" s="289">
        <f>H460+L460</f>
        <v>9438</v>
      </c>
      <c r="Q460" s="289">
        <f t="shared" si="171"/>
        <v>8206</v>
      </c>
      <c r="R460" s="1001">
        <f t="shared" si="157"/>
        <v>86.946386946386951</v>
      </c>
    </row>
    <row r="461" spans="2:18" ht="12" customHeight="1" x14ac:dyDescent="0.2">
      <c r="B461" s="172">
        <f t="shared" si="162"/>
        <v>456</v>
      </c>
      <c r="C461" s="126"/>
      <c r="D461" s="126"/>
      <c r="E461" s="130"/>
      <c r="F461" s="287">
        <v>640</v>
      </c>
      <c r="G461" s="288" t="s">
        <v>572</v>
      </c>
      <c r="H461" s="434">
        <v>13026</v>
      </c>
      <c r="I461" s="434">
        <v>13026</v>
      </c>
      <c r="J461" s="965">
        <f t="shared" si="156"/>
        <v>100</v>
      </c>
      <c r="K461" s="128"/>
      <c r="L461" s="438"/>
      <c r="M461" s="438"/>
      <c r="N461" s="1037"/>
      <c r="O461" s="128"/>
      <c r="P461" s="289">
        <f>H461+L461</f>
        <v>13026</v>
      </c>
      <c r="Q461" s="289">
        <f t="shared" si="171"/>
        <v>13026</v>
      </c>
      <c r="R461" s="1001">
        <f t="shared" si="157"/>
        <v>100</v>
      </c>
    </row>
    <row r="462" spans="2:18" x14ac:dyDescent="0.2">
      <c r="B462" s="172">
        <f t="shared" si="162"/>
        <v>457</v>
      </c>
      <c r="C462" s="126"/>
      <c r="D462" s="126"/>
      <c r="E462" s="130"/>
      <c r="F462" s="287">
        <v>640</v>
      </c>
      <c r="G462" s="288" t="s">
        <v>573</v>
      </c>
      <c r="H462" s="434">
        <v>15865</v>
      </c>
      <c r="I462" s="434">
        <v>15865</v>
      </c>
      <c r="J462" s="965">
        <f t="shared" si="156"/>
        <v>100</v>
      </c>
      <c r="K462" s="148"/>
      <c r="L462" s="438"/>
      <c r="M462" s="438"/>
      <c r="N462" s="1037"/>
      <c r="O462" s="148"/>
      <c r="P462" s="289">
        <f>H462+L462</f>
        <v>15865</v>
      </c>
      <c r="Q462" s="289">
        <f t="shared" si="171"/>
        <v>15865</v>
      </c>
      <c r="R462" s="1001">
        <f t="shared" si="157"/>
        <v>100</v>
      </c>
    </row>
    <row r="463" spans="2:18" ht="12.75" customHeight="1" x14ac:dyDescent="0.2">
      <c r="B463" s="172">
        <f t="shared" si="162"/>
        <v>458</v>
      </c>
      <c r="C463" s="126"/>
      <c r="D463" s="130"/>
      <c r="E463" s="146"/>
      <c r="F463" s="127"/>
      <c r="G463" s="193"/>
      <c r="H463" s="444"/>
      <c r="I463" s="444"/>
      <c r="J463" s="995"/>
      <c r="K463" s="148"/>
      <c r="L463" s="159"/>
      <c r="M463" s="159"/>
      <c r="N463" s="1038"/>
      <c r="O463" s="148"/>
      <c r="P463" s="215"/>
      <c r="Q463" s="215"/>
      <c r="R463" s="1000"/>
    </row>
    <row r="464" spans="2:18" ht="15" x14ac:dyDescent="0.25">
      <c r="B464" s="172">
        <f t="shared" si="162"/>
        <v>459</v>
      </c>
      <c r="C464" s="126"/>
      <c r="D464" s="264">
        <v>10</v>
      </c>
      <c r="E464" s="270" t="s">
        <v>428</v>
      </c>
      <c r="F464" s="267" t="s">
        <v>395</v>
      </c>
      <c r="G464" s="268"/>
      <c r="H464" s="429">
        <f>H465+H466+H467+H474</f>
        <v>790934</v>
      </c>
      <c r="I464" s="429">
        <f t="shared" ref="I464" si="172">I465+I466+I467+I474</f>
        <v>790915</v>
      </c>
      <c r="J464" s="995">
        <f t="shared" si="156"/>
        <v>99.997597776805648</v>
      </c>
      <c r="K464" s="341"/>
      <c r="L464" s="449"/>
      <c r="M464" s="449"/>
      <c r="N464" s="1038"/>
      <c r="O464" s="341"/>
      <c r="P464" s="345">
        <f t="shared" ref="P464:P484" si="173">H464+L464</f>
        <v>790934</v>
      </c>
      <c r="Q464" s="345">
        <f t="shared" ref="Q464:Q485" si="174">I464+M464</f>
        <v>790915</v>
      </c>
      <c r="R464" s="1009">
        <f t="shared" si="157"/>
        <v>99.997597776805648</v>
      </c>
    </row>
    <row r="465" spans="2:18" ht="12" customHeight="1" x14ac:dyDescent="0.2">
      <c r="B465" s="172">
        <f t="shared" si="162"/>
        <v>460</v>
      </c>
      <c r="C465" s="126"/>
      <c r="D465" s="126"/>
      <c r="E465" s="130"/>
      <c r="F465" s="143" t="s">
        <v>211</v>
      </c>
      <c r="G465" s="201" t="s">
        <v>506</v>
      </c>
      <c r="H465" s="573">
        <f>487600+24380+20400</f>
        <v>532380</v>
      </c>
      <c r="I465" s="573">
        <v>534632</v>
      </c>
      <c r="J465" s="965">
        <f t="shared" si="156"/>
        <v>100.42300612344566</v>
      </c>
      <c r="K465" s="338"/>
      <c r="L465" s="574"/>
      <c r="M465" s="574"/>
      <c r="N465" s="1037"/>
      <c r="O465" s="338"/>
      <c r="P465" s="575">
        <f t="shared" si="173"/>
        <v>532380</v>
      </c>
      <c r="Q465" s="575">
        <f t="shared" si="174"/>
        <v>534632</v>
      </c>
      <c r="R465" s="1001">
        <f t="shared" si="157"/>
        <v>100.42300612344566</v>
      </c>
    </row>
    <row r="466" spans="2:18" ht="12" customHeight="1" x14ac:dyDescent="0.2">
      <c r="B466" s="172">
        <f t="shared" si="162"/>
        <v>461</v>
      </c>
      <c r="C466" s="126"/>
      <c r="D466" s="126"/>
      <c r="E466" s="130"/>
      <c r="F466" s="143" t="s">
        <v>212</v>
      </c>
      <c r="G466" s="201" t="s">
        <v>259</v>
      </c>
      <c r="H466" s="573">
        <f>170295+8515+6640</f>
        <v>185450</v>
      </c>
      <c r="I466" s="573">
        <v>183196</v>
      </c>
      <c r="J466" s="965">
        <f t="shared" si="156"/>
        <v>98.784578053383669</v>
      </c>
      <c r="K466" s="338"/>
      <c r="L466" s="574"/>
      <c r="M466" s="574"/>
      <c r="N466" s="1037"/>
      <c r="O466" s="338"/>
      <c r="P466" s="575">
        <f t="shared" si="173"/>
        <v>185450</v>
      </c>
      <c r="Q466" s="575">
        <f t="shared" si="174"/>
        <v>183196</v>
      </c>
      <c r="R466" s="1001">
        <f t="shared" si="157"/>
        <v>98.784578053383669</v>
      </c>
    </row>
    <row r="467" spans="2:18" ht="12" customHeight="1" x14ac:dyDescent="0.2">
      <c r="B467" s="172">
        <f t="shared" si="162"/>
        <v>462</v>
      </c>
      <c r="C467" s="126"/>
      <c r="D467" s="126"/>
      <c r="E467" s="130"/>
      <c r="F467" s="143" t="s">
        <v>218</v>
      </c>
      <c r="G467" s="201" t="s">
        <v>341</v>
      </c>
      <c r="H467" s="573">
        <f>SUM(H468:H473)</f>
        <v>71904</v>
      </c>
      <c r="I467" s="573">
        <f t="shared" ref="I467" si="175">SUM(I468:I473)</f>
        <v>71837</v>
      </c>
      <c r="J467" s="965">
        <f t="shared" si="156"/>
        <v>99.906820204717405</v>
      </c>
      <c r="K467" s="338"/>
      <c r="L467" s="574"/>
      <c r="M467" s="574"/>
      <c r="N467" s="1037"/>
      <c r="O467" s="338"/>
      <c r="P467" s="575">
        <f t="shared" si="173"/>
        <v>71904</v>
      </c>
      <c r="Q467" s="575">
        <f t="shared" si="174"/>
        <v>71837</v>
      </c>
      <c r="R467" s="1001">
        <f t="shared" si="157"/>
        <v>99.906820204717405</v>
      </c>
    </row>
    <row r="468" spans="2:18" ht="12" customHeight="1" x14ac:dyDescent="0.2">
      <c r="B468" s="172">
        <f t="shared" si="162"/>
        <v>463</v>
      </c>
      <c r="C468" s="126"/>
      <c r="D468" s="126"/>
      <c r="E468" s="130"/>
      <c r="F468" s="127" t="s">
        <v>213</v>
      </c>
      <c r="G468" s="193" t="s">
        <v>307</v>
      </c>
      <c r="H468" s="399">
        <v>400</v>
      </c>
      <c r="I468" s="399">
        <v>194</v>
      </c>
      <c r="J468" s="966">
        <f t="shared" si="156"/>
        <v>48.5</v>
      </c>
      <c r="K468" s="338"/>
      <c r="L468" s="574"/>
      <c r="M468" s="574"/>
      <c r="N468" s="1037"/>
      <c r="O468" s="338"/>
      <c r="P468" s="169">
        <f t="shared" si="173"/>
        <v>400</v>
      </c>
      <c r="Q468" s="169">
        <f t="shared" si="174"/>
        <v>194</v>
      </c>
      <c r="R468" s="986">
        <f t="shared" si="157"/>
        <v>48.5</v>
      </c>
    </row>
    <row r="469" spans="2:18" ht="12" customHeight="1" x14ac:dyDescent="0.2">
      <c r="B469" s="172">
        <f t="shared" si="162"/>
        <v>464</v>
      </c>
      <c r="C469" s="126"/>
      <c r="D469" s="126"/>
      <c r="E469" s="130"/>
      <c r="F469" s="127" t="s">
        <v>199</v>
      </c>
      <c r="G469" s="193" t="s">
        <v>319</v>
      </c>
      <c r="H469" s="399">
        <f>39280-14580</f>
        <v>24700</v>
      </c>
      <c r="I469" s="399">
        <v>24448</v>
      </c>
      <c r="J469" s="966">
        <f t="shared" si="156"/>
        <v>98.979757085020253</v>
      </c>
      <c r="K469" s="338"/>
      <c r="L469" s="574"/>
      <c r="M469" s="574"/>
      <c r="N469" s="1037"/>
      <c r="O469" s="338"/>
      <c r="P469" s="169">
        <f t="shared" si="173"/>
        <v>24700</v>
      </c>
      <c r="Q469" s="169">
        <f t="shared" si="174"/>
        <v>24448</v>
      </c>
      <c r="R469" s="986">
        <f t="shared" si="157"/>
        <v>98.979757085020253</v>
      </c>
    </row>
    <row r="470" spans="2:18" ht="12" customHeight="1" x14ac:dyDescent="0.2">
      <c r="B470" s="172">
        <f t="shared" si="162"/>
        <v>465</v>
      </c>
      <c r="C470" s="126"/>
      <c r="D470" s="126"/>
      <c r="E470" s="130"/>
      <c r="F470" s="127" t="s">
        <v>200</v>
      </c>
      <c r="G470" s="193" t="s">
        <v>247</v>
      </c>
      <c r="H470" s="399">
        <f>6505+199+7300+700</f>
        <v>14704</v>
      </c>
      <c r="I470" s="399">
        <v>15841</v>
      </c>
      <c r="J470" s="966">
        <f t="shared" si="156"/>
        <v>107.73258977149077</v>
      </c>
      <c r="K470" s="338"/>
      <c r="L470" s="574"/>
      <c r="M470" s="574"/>
      <c r="N470" s="1037"/>
      <c r="O470" s="338"/>
      <c r="P470" s="169">
        <f t="shared" si="173"/>
        <v>14704</v>
      </c>
      <c r="Q470" s="169">
        <f t="shared" si="174"/>
        <v>15841</v>
      </c>
      <c r="R470" s="986">
        <f t="shared" si="157"/>
        <v>107.73258977149077</v>
      </c>
    </row>
    <row r="471" spans="2:18" ht="12" customHeight="1" x14ac:dyDescent="0.2">
      <c r="B471" s="172">
        <f t="shared" si="162"/>
        <v>466</v>
      </c>
      <c r="C471" s="126"/>
      <c r="D471" s="126"/>
      <c r="E471" s="130"/>
      <c r="F471" s="130">
        <v>635</v>
      </c>
      <c r="G471" s="193" t="s">
        <v>261</v>
      </c>
      <c r="H471" s="399">
        <f>4640+500-2140</f>
        <v>3000</v>
      </c>
      <c r="I471" s="399">
        <v>3803</v>
      </c>
      <c r="J471" s="966">
        <f t="shared" ref="J471:J536" si="176">I471/H471*100</f>
        <v>126.76666666666667</v>
      </c>
      <c r="K471" s="338"/>
      <c r="L471" s="574"/>
      <c r="M471" s="574"/>
      <c r="N471" s="1037"/>
      <c r="O471" s="338"/>
      <c r="P471" s="169">
        <f t="shared" si="173"/>
        <v>3000</v>
      </c>
      <c r="Q471" s="169">
        <f t="shared" si="174"/>
        <v>3803</v>
      </c>
      <c r="R471" s="986">
        <f t="shared" ref="R471:R536" si="177">Q471/P471*100</f>
        <v>126.76666666666667</v>
      </c>
    </row>
    <row r="472" spans="2:18" ht="12" customHeight="1" x14ac:dyDescent="0.2">
      <c r="B472" s="172">
        <f t="shared" si="162"/>
        <v>467</v>
      </c>
      <c r="C472" s="126"/>
      <c r="D472" s="126"/>
      <c r="E472" s="130"/>
      <c r="F472" s="130">
        <v>636</v>
      </c>
      <c r="G472" s="193" t="s">
        <v>262</v>
      </c>
      <c r="H472" s="399">
        <v>100</v>
      </c>
      <c r="I472" s="399">
        <v>174</v>
      </c>
      <c r="J472" s="966">
        <f t="shared" si="176"/>
        <v>174</v>
      </c>
      <c r="K472" s="338"/>
      <c r="L472" s="574"/>
      <c r="M472" s="574"/>
      <c r="N472" s="1037"/>
      <c r="O472" s="338"/>
      <c r="P472" s="169">
        <f t="shared" si="173"/>
        <v>100</v>
      </c>
      <c r="Q472" s="169">
        <f t="shared" si="174"/>
        <v>174</v>
      </c>
      <c r="R472" s="986">
        <f t="shared" si="177"/>
        <v>174</v>
      </c>
    </row>
    <row r="473" spans="2:18" ht="12" customHeight="1" x14ac:dyDescent="0.2">
      <c r="B473" s="172">
        <f t="shared" si="162"/>
        <v>468</v>
      </c>
      <c r="C473" s="126"/>
      <c r="D473" s="126"/>
      <c r="E473" s="130"/>
      <c r="F473" s="127" t="s">
        <v>216</v>
      </c>
      <c r="G473" s="193" t="s">
        <v>248</v>
      </c>
      <c r="H473" s="399">
        <f>35320-6320</f>
        <v>29000</v>
      </c>
      <c r="I473" s="399">
        <v>27377</v>
      </c>
      <c r="J473" s="966">
        <f t="shared" si="176"/>
        <v>94.403448275862061</v>
      </c>
      <c r="K473" s="338"/>
      <c r="L473" s="574"/>
      <c r="M473" s="574"/>
      <c r="N473" s="1037"/>
      <c r="O473" s="338"/>
      <c r="P473" s="169">
        <f t="shared" si="173"/>
        <v>29000</v>
      </c>
      <c r="Q473" s="169">
        <f t="shared" si="174"/>
        <v>27377</v>
      </c>
      <c r="R473" s="986">
        <f t="shared" si="177"/>
        <v>94.403448275862061</v>
      </c>
    </row>
    <row r="474" spans="2:18" ht="12" customHeight="1" x14ac:dyDescent="0.2">
      <c r="B474" s="172">
        <f t="shared" si="162"/>
        <v>469</v>
      </c>
      <c r="C474" s="126"/>
      <c r="D474" s="126"/>
      <c r="E474" s="130"/>
      <c r="F474" s="143" t="s">
        <v>217</v>
      </c>
      <c r="G474" s="201" t="s">
        <v>505</v>
      </c>
      <c r="H474" s="573">
        <f>6500-5300</f>
        <v>1200</v>
      </c>
      <c r="I474" s="573">
        <v>1250</v>
      </c>
      <c r="J474" s="965">
        <f t="shared" si="176"/>
        <v>104.16666666666667</v>
      </c>
      <c r="K474" s="338"/>
      <c r="L474" s="574"/>
      <c r="M474" s="574"/>
      <c r="N474" s="1037"/>
      <c r="O474" s="338"/>
      <c r="P474" s="575">
        <f t="shared" si="173"/>
        <v>1200</v>
      </c>
      <c r="Q474" s="575">
        <f t="shared" si="174"/>
        <v>1250</v>
      </c>
      <c r="R474" s="1001">
        <f t="shared" si="177"/>
        <v>104.16666666666667</v>
      </c>
    </row>
    <row r="475" spans="2:18" ht="15" x14ac:dyDescent="0.25">
      <c r="B475" s="172">
        <f t="shared" si="162"/>
        <v>470</v>
      </c>
      <c r="C475" s="126"/>
      <c r="D475" s="264">
        <v>11</v>
      </c>
      <c r="E475" s="176" t="s">
        <v>428</v>
      </c>
      <c r="F475" s="147" t="s">
        <v>396</v>
      </c>
      <c r="G475" s="238"/>
      <c r="H475" s="427">
        <f>H476+H477+H478+H485</f>
        <v>105388</v>
      </c>
      <c r="I475" s="427">
        <f t="shared" ref="I475" si="178">I476+I477+I478+I485</f>
        <v>105355</v>
      </c>
      <c r="J475" s="965">
        <f t="shared" si="176"/>
        <v>99.968687137055454</v>
      </c>
      <c r="K475" s="341"/>
      <c r="L475" s="437"/>
      <c r="M475" s="437"/>
      <c r="N475" s="1037"/>
      <c r="O475" s="341"/>
      <c r="P475" s="344">
        <f t="shared" si="173"/>
        <v>105388</v>
      </c>
      <c r="Q475" s="344">
        <f t="shared" si="174"/>
        <v>105355</v>
      </c>
      <c r="R475" s="1001">
        <f t="shared" si="177"/>
        <v>99.968687137055454</v>
      </c>
    </row>
    <row r="476" spans="2:18" ht="12" customHeight="1" x14ac:dyDescent="0.2">
      <c r="B476" s="172">
        <f t="shared" si="162"/>
        <v>471</v>
      </c>
      <c r="C476" s="126"/>
      <c r="D476" s="126"/>
      <c r="E476" s="130"/>
      <c r="F476" s="143" t="s">
        <v>211</v>
      </c>
      <c r="G476" s="201" t="s">
        <v>506</v>
      </c>
      <c r="H476" s="573">
        <f>53690+2685-3955</f>
        <v>52420</v>
      </c>
      <c r="I476" s="573">
        <v>52420</v>
      </c>
      <c r="J476" s="965">
        <f t="shared" si="176"/>
        <v>100</v>
      </c>
      <c r="K476" s="338"/>
      <c r="L476" s="574"/>
      <c r="M476" s="574"/>
      <c r="N476" s="1037"/>
      <c r="O476" s="338"/>
      <c r="P476" s="575">
        <f t="shared" si="173"/>
        <v>52420</v>
      </c>
      <c r="Q476" s="575">
        <f t="shared" si="174"/>
        <v>52420</v>
      </c>
      <c r="R476" s="1001">
        <f t="shared" si="177"/>
        <v>100</v>
      </c>
    </row>
    <row r="477" spans="2:18" ht="12" customHeight="1" x14ac:dyDescent="0.2">
      <c r="B477" s="172">
        <f t="shared" si="162"/>
        <v>472</v>
      </c>
      <c r="C477" s="126"/>
      <c r="D477" s="126"/>
      <c r="E477" s="130"/>
      <c r="F477" s="143" t="s">
        <v>212</v>
      </c>
      <c r="G477" s="201" t="s">
        <v>259</v>
      </c>
      <c r="H477" s="573">
        <f>18645+932+350+50</f>
        <v>19977</v>
      </c>
      <c r="I477" s="573">
        <v>19949</v>
      </c>
      <c r="J477" s="965">
        <f t="shared" si="176"/>
        <v>99.859838814636831</v>
      </c>
      <c r="K477" s="338"/>
      <c r="L477" s="574"/>
      <c r="M477" s="574"/>
      <c r="N477" s="1037"/>
      <c r="O477" s="338"/>
      <c r="P477" s="575">
        <f t="shared" si="173"/>
        <v>19977</v>
      </c>
      <c r="Q477" s="575">
        <f t="shared" si="174"/>
        <v>19949</v>
      </c>
      <c r="R477" s="1001">
        <f t="shared" si="177"/>
        <v>99.859838814636831</v>
      </c>
    </row>
    <row r="478" spans="2:18" ht="12" customHeight="1" x14ac:dyDescent="0.2">
      <c r="B478" s="172">
        <f t="shared" si="162"/>
        <v>473</v>
      </c>
      <c r="C478" s="126"/>
      <c r="D478" s="126"/>
      <c r="E478" s="130"/>
      <c r="F478" s="143" t="s">
        <v>218</v>
      </c>
      <c r="G478" s="201" t="s">
        <v>341</v>
      </c>
      <c r="H478" s="573">
        <f>SUM(H479:H484)</f>
        <v>32631</v>
      </c>
      <c r="I478" s="573">
        <f t="shared" ref="I478" si="179">SUM(I479:I484)</f>
        <v>32626</v>
      </c>
      <c r="J478" s="965">
        <f t="shared" si="176"/>
        <v>99.984677147497777</v>
      </c>
      <c r="K478" s="338"/>
      <c r="L478" s="574"/>
      <c r="M478" s="574"/>
      <c r="N478" s="1037"/>
      <c r="O478" s="338"/>
      <c r="P478" s="575">
        <f t="shared" si="173"/>
        <v>32631</v>
      </c>
      <c r="Q478" s="575">
        <f t="shared" si="174"/>
        <v>32626</v>
      </c>
      <c r="R478" s="1001">
        <f t="shared" si="177"/>
        <v>99.984677147497777</v>
      </c>
    </row>
    <row r="479" spans="2:18" ht="12" customHeight="1" x14ac:dyDescent="0.2">
      <c r="B479" s="172">
        <f t="shared" si="162"/>
        <v>474</v>
      </c>
      <c r="C479" s="126"/>
      <c r="D479" s="126"/>
      <c r="E479" s="130"/>
      <c r="F479" s="127" t="s">
        <v>213</v>
      </c>
      <c r="G479" s="193" t="s">
        <v>307</v>
      </c>
      <c r="H479" s="399">
        <f>500-350-50</f>
        <v>100</v>
      </c>
      <c r="I479" s="399">
        <v>106</v>
      </c>
      <c r="J479" s="966">
        <f t="shared" si="176"/>
        <v>106</v>
      </c>
      <c r="K479" s="338"/>
      <c r="L479" s="574"/>
      <c r="M479" s="574"/>
      <c r="N479" s="1037"/>
      <c r="O479" s="338"/>
      <c r="P479" s="169">
        <f t="shared" si="173"/>
        <v>100</v>
      </c>
      <c r="Q479" s="169">
        <f t="shared" si="174"/>
        <v>106</v>
      </c>
      <c r="R479" s="986">
        <f t="shared" si="177"/>
        <v>106</v>
      </c>
    </row>
    <row r="480" spans="2:18" ht="12" customHeight="1" x14ac:dyDescent="0.2">
      <c r="B480" s="172">
        <f t="shared" si="162"/>
        <v>475</v>
      </c>
      <c r="C480" s="126"/>
      <c r="D480" s="126"/>
      <c r="E480" s="130"/>
      <c r="F480" s="127" t="s">
        <v>199</v>
      </c>
      <c r="G480" s="193" t="s">
        <v>319</v>
      </c>
      <c r="H480" s="399">
        <v>6300</v>
      </c>
      <c r="I480" s="399">
        <v>6691</v>
      </c>
      <c r="J480" s="966">
        <f t="shared" si="176"/>
        <v>106.20634920634922</v>
      </c>
      <c r="K480" s="338"/>
      <c r="L480" s="574"/>
      <c r="M480" s="574"/>
      <c r="N480" s="1037"/>
      <c r="O480" s="338"/>
      <c r="P480" s="169">
        <f t="shared" si="173"/>
        <v>6300</v>
      </c>
      <c r="Q480" s="169">
        <f t="shared" si="174"/>
        <v>6691</v>
      </c>
      <c r="R480" s="986">
        <f t="shared" si="177"/>
        <v>106.20634920634922</v>
      </c>
    </row>
    <row r="481" spans="2:18" ht="12" customHeight="1" x14ac:dyDescent="0.2">
      <c r="B481" s="172">
        <f t="shared" si="162"/>
        <v>476</v>
      </c>
      <c r="C481" s="126"/>
      <c r="D481" s="126"/>
      <c r="E481" s="130"/>
      <c r="F481" s="127" t="s">
        <v>200</v>
      </c>
      <c r="G481" s="193" t="s">
        <v>247</v>
      </c>
      <c r="H481" s="399">
        <f>2060+4728+2245</f>
        <v>9033</v>
      </c>
      <c r="I481" s="399">
        <v>9234</v>
      </c>
      <c r="J481" s="966">
        <f t="shared" si="176"/>
        <v>102.2251743606775</v>
      </c>
      <c r="K481" s="338"/>
      <c r="L481" s="574"/>
      <c r="M481" s="574"/>
      <c r="N481" s="1037"/>
      <c r="O481" s="338"/>
      <c r="P481" s="169">
        <f t="shared" si="173"/>
        <v>9033</v>
      </c>
      <c r="Q481" s="169">
        <f t="shared" si="174"/>
        <v>9234</v>
      </c>
      <c r="R481" s="986">
        <f t="shared" si="177"/>
        <v>102.2251743606775</v>
      </c>
    </row>
    <row r="482" spans="2:18" ht="12" customHeight="1" x14ac:dyDescent="0.2">
      <c r="B482" s="172">
        <f t="shared" si="162"/>
        <v>477</v>
      </c>
      <c r="C482" s="126"/>
      <c r="D482" s="126"/>
      <c r="E482" s="130"/>
      <c r="F482" s="127" t="s">
        <v>201</v>
      </c>
      <c r="G482" s="193" t="s">
        <v>260</v>
      </c>
      <c r="H482" s="399">
        <v>400</v>
      </c>
      <c r="I482" s="399">
        <v>367</v>
      </c>
      <c r="J482" s="966">
        <f t="shared" si="176"/>
        <v>91.75</v>
      </c>
      <c r="K482" s="338"/>
      <c r="L482" s="574"/>
      <c r="M482" s="574"/>
      <c r="N482" s="1037"/>
      <c r="O482" s="338"/>
      <c r="P482" s="169">
        <f t="shared" si="173"/>
        <v>400</v>
      </c>
      <c r="Q482" s="169">
        <f t="shared" si="174"/>
        <v>367</v>
      </c>
      <c r="R482" s="986">
        <f t="shared" si="177"/>
        <v>91.75</v>
      </c>
    </row>
    <row r="483" spans="2:18" x14ac:dyDescent="0.2">
      <c r="B483" s="172">
        <f t="shared" si="162"/>
        <v>478</v>
      </c>
      <c r="C483" s="126"/>
      <c r="D483" s="126"/>
      <c r="E483" s="130"/>
      <c r="F483" s="130">
        <v>635</v>
      </c>
      <c r="G483" s="193" t="s">
        <v>261</v>
      </c>
      <c r="H483" s="399">
        <f>435-200</f>
        <v>235</v>
      </c>
      <c r="I483" s="399">
        <v>238</v>
      </c>
      <c r="J483" s="966">
        <f t="shared" si="176"/>
        <v>101.27659574468085</v>
      </c>
      <c r="K483" s="338"/>
      <c r="L483" s="574"/>
      <c r="M483" s="574"/>
      <c r="N483" s="1037"/>
      <c r="O483" s="338"/>
      <c r="P483" s="169">
        <f t="shared" si="173"/>
        <v>235</v>
      </c>
      <c r="Q483" s="169">
        <f t="shared" si="174"/>
        <v>238</v>
      </c>
      <c r="R483" s="986">
        <f t="shared" si="177"/>
        <v>101.27659574468085</v>
      </c>
    </row>
    <row r="484" spans="2:18" x14ac:dyDescent="0.2">
      <c r="B484" s="172">
        <f t="shared" si="162"/>
        <v>479</v>
      </c>
      <c r="C484" s="126"/>
      <c r="D484" s="126"/>
      <c r="E484" s="130"/>
      <c r="F484" s="127" t="s">
        <v>216</v>
      </c>
      <c r="G484" s="193" t="s">
        <v>248</v>
      </c>
      <c r="H484" s="399">
        <f>7915+2364+4130+480-426+2100</f>
        <v>16563</v>
      </c>
      <c r="I484" s="399">
        <v>15990</v>
      </c>
      <c r="J484" s="966">
        <f t="shared" si="176"/>
        <v>96.54048179677595</v>
      </c>
      <c r="K484" s="338"/>
      <c r="L484" s="574"/>
      <c r="M484" s="574"/>
      <c r="N484" s="1037"/>
      <c r="O484" s="338"/>
      <c r="P484" s="169">
        <f t="shared" si="173"/>
        <v>16563</v>
      </c>
      <c r="Q484" s="169">
        <f t="shared" si="174"/>
        <v>15990</v>
      </c>
      <c r="R484" s="986">
        <f t="shared" si="177"/>
        <v>96.54048179677595</v>
      </c>
    </row>
    <row r="485" spans="2:18" x14ac:dyDescent="0.2">
      <c r="B485" s="172">
        <f t="shared" si="162"/>
        <v>480</v>
      </c>
      <c r="C485" s="126"/>
      <c r="D485" s="126"/>
      <c r="E485" s="130"/>
      <c r="F485" s="143" t="s">
        <v>217</v>
      </c>
      <c r="G485" s="201" t="s">
        <v>505</v>
      </c>
      <c r="H485" s="573">
        <f>400-40</f>
        <v>360</v>
      </c>
      <c r="I485" s="573">
        <v>360</v>
      </c>
      <c r="J485" s="965">
        <f t="shared" si="176"/>
        <v>100</v>
      </c>
      <c r="K485" s="336"/>
      <c r="L485" s="439"/>
      <c r="M485" s="439"/>
      <c r="N485" s="1040"/>
      <c r="O485" s="336"/>
      <c r="P485" s="575">
        <f>H485+L485</f>
        <v>360</v>
      </c>
      <c r="Q485" s="575">
        <f t="shared" si="174"/>
        <v>360</v>
      </c>
      <c r="R485" s="1001">
        <f t="shared" si="177"/>
        <v>100</v>
      </c>
    </row>
    <row r="486" spans="2:18" ht="12" customHeight="1" x14ac:dyDescent="0.2">
      <c r="B486" s="172">
        <f t="shared" si="162"/>
        <v>481</v>
      </c>
      <c r="C486" s="126"/>
      <c r="D486" s="126"/>
      <c r="E486" s="130"/>
      <c r="F486" s="130"/>
      <c r="G486" s="201"/>
      <c r="H486" s="570"/>
      <c r="I486" s="570"/>
      <c r="J486" s="966"/>
      <c r="K486" s="148"/>
      <c r="L486" s="139"/>
      <c r="M486" s="139"/>
      <c r="N486" s="1037"/>
      <c r="O486" s="148"/>
      <c r="P486" s="169"/>
      <c r="Q486" s="169"/>
      <c r="R486" s="986"/>
    </row>
    <row r="487" spans="2:18" ht="12" customHeight="1" x14ac:dyDescent="0.2">
      <c r="B487" s="172">
        <f t="shared" si="162"/>
        <v>482</v>
      </c>
      <c r="C487" s="126"/>
      <c r="D487" s="126"/>
      <c r="E487" s="130"/>
      <c r="F487" s="287">
        <v>640</v>
      </c>
      <c r="G487" s="288" t="s">
        <v>397</v>
      </c>
      <c r="H487" s="447">
        <v>144129</v>
      </c>
      <c r="I487" s="447">
        <v>144129</v>
      </c>
      <c r="J487" s="995">
        <f t="shared" si="176"/>
        <v>100</v>
      </c>
      <c r="K487" s="128"/>
      <c r="L487" s="451"/>
      <c r="M487" s="451"/>
      <c r="N487" s="1038"/>
      <c r="O487" s="128"/>
      <c r="P487" s="290">
        <f>H487+L487</f>
        <v>144129</v>
      </c>
      <c r="Q487" s="290">
        <f t="shared" ref="Q487:Q488" si="180">I487+M487</f>
        <v>144129</v>
      </c>
      <c r="R487" s="1009">
        <f t="shared" si="177"/>
        <v>100</v>
      </c>
    </row>
    <row r="488" spans="2:18" ht="12" customHeight="1" x14ac:dyDescent="0.2">
      <c r="B488" s="172">
        <f t="shared" si="162"/>
        <v>483</v>
      </c>
      <c r="C488" s="126"/>
      <c r="D488" s="126"/>
      <c r="E488" s="130"/>
      <c r="F488" s="287">
        <v>640</v>
      </c>
      <c r="G488" s="288" t="s">
        <v>398</v>
      </c>
      <c r="H488" s="434">
        <v>134195</v>
      </c>
      <c r="I488" s="434">
        <v>134195</v>
      </c>
      <c r="J488" s="965">
        <f t="shared" si="176"/>
        <v>100</v>
      </c>
      <c r="K488" s="128"/>
      <c r="L488" s="438"/>
      <c r="M488" s="438"/>
      <c r="N488" s="1037"/>
      <c r="O488" s="128"/>
      <c r="P488" s="289">
        <f>H488+L488</f>
        <v>134195</v>
      </c>
      <c r="Q488" s="289">
        <f t="shared" si="180"/>
        <v>134195</v>
      </c>
      <c r="R488" s="1001">
        <f t="shared" si="177"/>
        <v>100</v>
      </c>
    </row>
    <row r="489" spans="2:18" x14ac:dyDescent="0.2">
      <c r="B489" s="172">
        <f t="shared" si="162"/>
        <v>484</v>
      </c>
      <c r="C489" s="126"/>
      <c r="D489" s="126"/>
      <c r="E489" s="130"/>
      <c r="F489" s="130"/>
      <c r="G489" s="201"/>
      <c r="H489" s="387"/>
      <c r="I489" s="387"/>
      <c r="J489" s="965"/>
      <c r="K489" s="128"/>
      <c r="L489" s="139"/>
      <c r="M489" s="139"/>
      <c r="N489" s="1037"/>
      <c r="O489" s="128"/>
      <c r="P489" s="169"/>
      <c r="Q489" s="169"/>
      <c r="R489" s="986"/>
    </row>
    <row r="490" spans="2:18" ht="15" customHeight="1" x14ac:dyDescent="0.25">
      <c r="B490" s="172">
        <f t="shared" ref="B490:B557" si="181">B489+1</f>
        <v>485</v>
      </c>
      <c r="C490" s="23">
        <v>4</v>
      </c>
      <c r="D490" s="123" t="s">
        <v>108</v>
      </c>
      <c r="E490" s="24"/>
      <c r="F490" s="24"/>
      <c r="G490" s="192"/>
      <c r="H490" s="415">
        <f>H491+H612+H757+H758+H759+H760</f>
        <v>1077070</v>
      </c>
      <c r="I490" s="415">
        <f>I491+I612+I757+I758+I759+I760</f>
        <v>1079744</v>
      </c>
      <c r="J490" s="972">
        <f t="shared" si="176"/>
        <v>100.24826612940663</v>
      </c>
      <c r="K490" s="346"/>
      <c r="L490" s="197">
        <f>L491+L612</f>
        <v>123501</v>
      </c>
      <c r="M490" s="197">
        <f t="shared" ref="M490" si="182">M491+M612</f>
        <v>121788</v>
      </c>
      <c r="N490" s="1034">
        <f t="shared" ref="N490:N533" si="183">M490/L490*100</f>
        <v>98.612966696625932</v>
      </c>
      <c r="O490" s="346"/>
      <c r="P490" s="389">
        <f t="shared" ref="P490:P539" si="184">H490+L490</f>
        <v>1200571</v>
      </c>
      <c r="Q490" s="389">
        <f t="shared" ref="Q490:Q557" si="185">I490+M490</f>
        <v>1201532</v>
      </c>
      <c r="R490" s="981">
        <f t="shared" si="177"/>
        <v>100.08004524513751</v>
      </c>
    </row>
    <row r="491" spans="2:18" ht="15" customHeight="1" x14ac:dyDescent="0.25">
      <c r="B491" s="172">
        <f t="shared" si="181"/>
        <v>486</v>
      </c>
      <c r="C491" s="142"/>
      <c r="D491" s="143"/>
      <c r="E491" s="171" t="s">
        <v>414</v>
      </c>
      <c r="F491" s="143"/>
      <c r="G491" s="201"/>
      <c r="H491" s="426">
        <f>H492+H501+H509+H517+H524+H533+H542+H552+H561+H570+H579+H587+H595+H603</f>
        <v>345165</v>
      </c>
      <c r="I491" s="426">
        <f t="shared" ref="I491" si="186">I492+I501+I509+I517+I524+I533+I542+I552+I561+I570+I579+I587+I595+I603</f>
        <v>347839</v>
      </c>
      <c r="J491" s="965">
        <f t="shared" si="176"/>
        <v>100.77470195413787</v>
      </c>
      <c r="K491" s="335"/>
      <c r="L491" s="430">
        <f>L492+L501+L509+L517+L524+L533+L542+L552+L561+L570+L579+L587+L595+L603</f>
        <v>56299</v>
      </c>
      <c r="M491" s="430">
        <f t="shared" ref="M491" si="187">M492+M501+M509+M517+M524+M533+M542+M552+M561+M570+M579+M587+M595+M603</f>
        <v>56298</v>
      </c>
      <c r="N491" s="1035">
        <f t="shared" si="183"/>
        <v>99.998223769516343</v>
      </c>
      <c r="O491" s="335"/>
      <c r="P491" s="347">
        <f t="shared" si="184"/>
        <v>401464</v>
      </c>
      <c r="Q491" s="347">
        <f t="shared" si="185"/>
        <v>404137</v>
      </c>
      <c r="R491" s="982">
        <f t="shared" si="177"/>
        <v>100.66581312396627</v>
      </c>
    </row>
    <row r="492" spans="2:18" ht="15" x14ac:dyDescent="0.25">
      <c r="B492" s="172">
        <f t="shared" si="181"/>
        <v>487</v>
      </c>
      <c r="C492" s="142"/>
      <c r="D492" s="263" t="s">
        <v>4</v>
      </c>
      <c r="E492" s="176" t="s">
        <v>405</v>
      </c>
      <c r="F492" s="147" t="s">
        <v>399</v>
      </c>
      <c r="G492" s="238"/>
      <c r="H492" s="427">
        <f>H493+H494+H495</f>
        <v>17377</v>
      </c>
      <c r="I492" s="427">
        <f>I493+I494+I495+I499</f>
        <v>17334</v>
      </c>
      <c r="J492" s="965">
        <f t="shared" si="176"/>
        <v>99.752546469471142</v>
      </c>
      <c r="K492" s="335"/>
      <c r="L492" s="432">
        <f>L500</f>
        <v>579</v>
      </c>
      <c r="M492" s="432">
        <f t="shared" ref="M492" si="188">M500</f>
        <v>579</v>
      </c>
      <c r="N492" s="1035">
        <f t="shared" si="183"/>
        <v>100</v>
      </c>
      <c r="O492" s="335"/>
      <c r="P492" s="331">
        <f t="shared" si="184"/>
        <v>17956</v>
      </c>
      <c r="Q492" s="331">
        <f t="shared" si="185"/>
        <v>17913</v>
      </c>
      <c r="R492" s="982">
        <f t="shared" si="177"/>
        <v>99.760525729561138</v>
      </c>
    </row>
    <row r="493" spans="2:18" ht="12" customHeight="1" x14ac:dyDescent="0.2">
      <c r="B493" s="172">
        <f t="shared" si="181"/>
        <v>488</v>
      </c>
      <c r="C493" s="142"/>
      <c r="D493" s="143"/>
      <c r="E493" s="143"/>
      <c r="F493" s="143" t="s">
        <v>211</v>
      </c>
      <c r="G493" s="201" t="s">
        <v>506</v>
      </c>
      <c r="H493" s="573">
        <f>11520+576-883+40</f>
        <v>11253</v>
      </c>
      <c r="I493" s="573">
        <v>10892</v>
      </c>
      <c r="J493" s="965">
        <f t="shared" si="176"/>
        <v>96.791966586687991</v>
      </c>
      <c r="K493" s="336"/>
      <c r="L493" s="400"/>
      <c r="M493" s="400"/>
      <c r="N493" s="1035"/>
      <c r="O493" s="336"/>
      <c r="P493" s="167">
        <f t="shared" si="184"/>
        <v>11253</v>
      </c>
      <c r="Q493" s="167">
        <f t="shared" si="185"/>
        <v>10892</v>
      </c>
      <c r="R493" s="982">
        <f t="shared" si="177"/>
        <v>96.791966586687991</v>
      </c>
    </row>
    <row r="494" spans="2:18" ht="12" customHeight="1" x14ac:dyDescent="0.2">
      <c r="B494" s="172">
        <f t="shared" si="181"/>
        <v>489</v>
      </c>
      <c r="C494" s="142"/>
      <c r="D494" s="143"/>
      <c r="E494" s="143"/>
      <c r="F494" s="143" t="s">
        <v>212</v>
      </c>
      <c r="G494" s="205" t="s">
        <v>259</v>
      </c>
      <c r="H494" s="573">
        <f>4117+206-229</f>
        <v>4094</v>
      </c>
      <c r="I494" s="573">
        <v>4056</v>
      </c>
      <c r="J494" s="965">
        <f t="shared" si="176"/>
        <v>99.071812408402536</v>
      </c>
      <c r="K494" s="336"/>
      <c r="L494" s="400"/>
      <c r="M494" s="400"/>
      <c r="N494" s="1035"/>
      <c r="O494" s="336"/>
      <c r="P494" s="167">
        <f t="shared" si="184"/>
        <v>4094</v>
      </c>
      <c r="Q494" s="167">
        <f t="shared" si="185"/>
        <v>4056</v>
      </c>
      <c r="R494" s="982">
        <f t="shared" si="177"/>
        <v>99.071812408402536</v>
      </c>
    </row>
    <row r="495" spans="2:18" ht="12" customHeight="1" x14ac:dyDescent="0.2">
      <c r="B495" s="172">
        <f t="shared" si="181"/>
        <v>490</v>
      </c>
      <c r="C495" s="126"/>
      <c r="D495" s="127"/>
      <c r="E495" s="127"/>
      <c r="F495" s="143" t="s">
        <v>218</v>
      </c>
      <c r="G495" s="201" t="s">
        <v>341</v>
      </c>
      <c r="H495" s="573">
        <f>SUM(H496:H498)</f>
        <v>2030</v>
      </c>
      <c r="I495" s="573">
        <f t="shared" ref="I495" si="189">SUM(I496:I498)</f>
        <v>1987</v>
      </c>
      <c r="J495" s="965">
        <f t="shared" si="176"/>
        <v>97.881773399014776</v>
      </c>
      <c r="K495" s="338"/>
      <c r="L495" s="441"/>
      <c r="M495" s="441"/>
      <c r="N495" s="1036"/>
      <c r="O495" s="338"/>
      <c r="P495" s="167">
        <f t="shared" si="184"/>
        <v>2030</v>
      </c>
      <c r="Q495" s="167">
        <f t="shared" si="185"/>
        <v>1987</v>
      </c>
      <c r="R495" s="982">
        <f t="shared" si="177"/>
        <v>97.881773399014776</v>
      </c>
    </row>
    <row r="496" spans="2:18" ht="12" customHeight="1" x14ac:dyDescent="0.2">
      <c r="B496" s="172">
        <f t="shared" si="181"/>
        <v>491</v>
      </c>
      <c r="C496" s="126"/>
      <c r="D496" s="127"/>
      <c r="E496" s="127"/>
      <c r="F496" s="127" t="s">
        <v>200</v>
      </c>
      <c r="G496" s="193" t="s">
        <v>247</v>
      </c>
      <c r="H496" s="399">
        <v>1170</v>
      </c>
      <c r="I496" s="399">
        <v>1153</v>
      </c>
      <c r="J496" s="966">
        <f t="shared" si="176"/>
        <v>98.547008547008545</v>
      </c>
      <c r="K496" s="338"/>
      <c r="L496" s="441"/>
      <c r="M496" s="441"/>
      <c r="N496" s="1036"/>
      <c r="O496" s="338"/>
      <c r="P496" s="168">
        <f t="shared" si="184"/>
        <v>1170</v>
      </c>
      <c r="Q496" s="168">
        <f t="shared" si="185"/>
        <v>1153</v>
      </c>
      <c r="R496" s="983">
        <f t="shared" si="177"/>
        <v>98.547008547008545</v>
      </c>
    </row>
    <row r="497" spans="2:18" ht="12" customHeight="1" x14ac:dyDescent="0.2">
      <c r="B497" s="172">
        <f t="shared" si="181"/>
        <v>492</v>
      </c>
      <c r="C497" s="126"/>
      <c r="D497" s="127"/>
      <c r="E497" s="127"/>
      <c r="F497" s="127" t="s">
        <v>214</v>
      </c>
      <c r="G497" s="204" t="s">
        <v>261</v>
      </c>
      <c r="H497" s="399">
        <v>100</v>
      </c>
      <c r="I497" s="399">
        <v>179</v>
      </c>
      <c r="J497" s="966">
        <f t="shared" si="176"/>
        <v>179</v>
      </c>
      <c r="K497" s="338"/>
      <c r="L497" s="441"/>
      <c r="M497" s="441"/>
      <c r="N497" s="1036"/>
      <c r="O497" s="338"/>
      <c r="P497" s="168">
        <f t="shared" si="184"/>
        <v>100</v>
      </c>
      <c r="Q497" s="168">
        <f t="shared" si="185"/>
        <v>179</v>
      </c>
      <c r="R497" s="983">
        <f t="shared" si="177"/>
        <v>179</v>
      </c>
    </row>
    <row r="498" spans="2:18" x14ac:dyDescent="0.2">
      <c r="B498" s="172">
        <f t="shared" si="181"/>
        <v>493</v>
      </c>
      <c r="C498" s="126"/>
      <c r="D498" s="127"/>
      <c r="E498" s="127"/>
      <c r="F498" s="127" t="s">
        <v>216</v>
      </c>
      <c r="G498" s="193" t="s">
        <v>248</v>
      </c>
      <c r="H498" s="399">
        <v>760</v>
      </c>
      <c r="I498" s="399">
        <v>655</v>
      </c>
      <c r="J498" s="966">
        <f t="shared" si="176"/>
        <v>86.18421052631578</v>
      </c>
      <c r="K498" s="338"/>
      <c r="L498" s="441"/>
      <c r="M498" s="441"/>
      <c r="N498" s="1036"/>
      <c r="O498" s="338"/>
      <c r="P498" s="168">
        <f t="shared" si="184"/>
        <v>760</v>
      </c>
      <c r="Q498" s="168">
        <f t="shared" si="185"/>
        <v>655</v>
      </c>
      <c r="R498" s="983">
        <f t="shared" si="177"/>
        <v>86.18421052631578</v>
      </c>
    </row>
    <row r="499" spans="2:18" x14ac:dyDescent="0.2">
      <c r="B499" s="172">
        <f t="shared" si="181"/>
        <v>494</v>
      </c>
      <c r="C499" s="126"/>
      <c r="D499" s="127"/>
      <c r="E499" s="170"/>
      <c r="F499" s="143" t="s">
        <v>217</v>
      </c>
      <c r="G499" s="201" t="s">
        <v>372</v>
      </c>
      <c r="H499" s="573">
        <v>0</v>
      </c>
      <c r="I499" s="573">
        <v>399</v>
      </c>
      <c r="J499" s="965">
        <v>0</v>
      </c>
      <c r="K499" s="336"/>
      <c r="L499" s="400"/>
      <c r="M499" s="400"/>
      <c r="N499" s="1035"/>
      <c r="O499" s="336"/>
      <c r="P499" s="167">
        <f t="shared" si="184"/>
        <v>0</v>
      </c>
      <c r="Q499" s="167">
        <f t="shared" si="185"/>
        <v>399</v>
      </c>
      <c r="R499" s="982">
        <v>0</v>
      </c>
    </row>
    <row r="500" spans="2:18" x14ac:dyDescent="0.2">
      <c r="B500" s="172">
        <f t="shared" si="181"/>
        <v>495</v>
      </c>
      <c r="C500" s="126"/>
      <c r="D500" s="127"/>
      <c r="E500" s="170"/>
      <c r="F500" s="143" t="s">
        <v>607</v>
      </c>
      <c r="G500" s="201" t="s">
        <v>724</v>
      </c>
      <c r="H500" s="399"/>
      <c r="I500" s="399"/>
      <c r="J500" s="966"/>
      <c r="K500" s="338"/>
      <c r="L500" s="441">
        <f>600-21</f>
        <v>579</v>
      </c>
      <c r="M500" s="441">
        <v>579</v>
      </c>
      <c r="N500" s="1036">
        <f t="shared" si="183"/>
        <v>100</v>
      </c>
      <c r="O500" s="338"/>
      <c r="P500" s="167">
        <f t="shared" si="184"/>
        <v>579</v>
      </c>
      <c r="Q500" s="167">
        <f t="shared" si="185"/>
        <v>579</v>
      </c>
      <c r="R500" s="982">
        <f t="shared" si="177"/>
        <v>100</v>
      </c>
    </row>
    <row r="501" spans="2:18" ht="15" x14ac:dyDescent="0.25">
      <c r="B501" s="172">
        <f t="shared" si="181"/>
        <v>496</v>
      </c>
      <c r="C501" s="126"/>
      <c r="D501" s="263" t="s">
        <v>5</v>
      </c>
      <c r="E501" s="176" t="s">
        <v>405</v>
      </c>
      <c r="F501" s="147" t="s">
        <v>400</v>
      </c>
      <c r="G501" s="238"/>
      <c r="H501" s="427">
        <f>SUM(H502:H504)</f>
        <v>22495</v>
      </c>
      <c r="I501" s="427">
        <f t="shared" ref="I501" si="190">SUM(I502:I504)</f>
        <v>22633</v>
      </c>
      <c r="J501" s="965">
        <f t="shared" si="176"/>
        <v>100.61346965992443</v>
      </c>
      <c r="K501" s="335"/>
      <c r="L501" s="432">
        <f>L508</f>
        <v>2672</v>
      </c>
      <c r="M501" s="432">
        <f t="shared" ref="M501" si="191">M508</f>
        <v>2672</v>
      </c>
      <c r="N501" s="1035">
        <f t="shared" si="183"/>
        <v>100</v>
      </c>
      <c r="O501" s="335"/>
      <c r="P501" s="331">
        <f t="shared" si="184"/>
        <v>25167</v>
      </c>
      <c r="Q501" s="331">
        <f t="shared" si="185"/>
        <v>25305</v>
      </c>
      <c r="R501" s="982">
        <f t="shared" si="177"/>
        <v>100.54833710811776</v>
      </c>
    </row>
    <row r="502" spans="2:18" ht="12" customHeight="1" x14ac:dyDescent="0.2">
      <c r="B502" s="172">
        <f t="shared" si="181"/>
        <v>497</v>
      </c>
      <c r="C502" s="126"/>
      <c r="D502" s="127"/>
      <c r="E502" s="127"/>
      <c r="F502" s="143" t="s">
        <v>211</v>
      </c>
      <c r="G502" s="201" t="s">
        <v>506</v>
      </c>
      <c r="H502" s="387">
        <f>13950+698+249</f>
        <v>14897</v>
      </c>
      <c r="I502" s="387">
        <v>15025</v>
      </c>
      <c r="J502" s="965">
        <f t="shared" si="176"/>
        <v>100.85923340269854</v>
      </c>
      <c r="K502" s="128"/>
      <c r="L502" s="141"/>
      <c r="M502" s="141"/>
      <c r="N502" s="1036"/>
      <c r="O502" s="128"/>
      <c r="P502" s="167">
        <f t="shared" si="184"/>
        <v>14897</v>
      </c>
      <c r="Q502" s="167">
        <f t="shared" si="185"/>
        <v>15025</v>
      </c>
      <c r="R502" s="982">
        <f t="shared" si="177"/>
        <v>100.85923340269854</v>
      </c>
    </row>
    <row r="503" spans="2:18" ht="12" customHeight="1" x14ac:dyDescent="0.2">
      <c r="B503" s="172">
        <f t="shared" si="181"/>
        <v>498</v>
      </c>
      <c r="C503" s="126"/>
      <c r="D503" s="127"/>
      <c r="E503" s="127"/>
      <c r="F503" s="143" t="s">
        <v>212</v>
      </c>
      <c r="G503" s="201" t="s">
        <v>259</v>
      </c>
      <c r="H503" s="387">
        <f>5114+256-32</f>
        <v>5338</v>
      </c>
      <c r="I503" s="387">
        <v>5210</v>
      </c>
      <c r="J503" s="965">
        <f t="shared" si="176"/>
        <v>97.602098164106408</v>
      </c>
      <c r="K503" s="128"/>
      <c r="L503" s="141"/>
      <c r="M503" s="141"/>
      <c r="N503" s="1036"/>
      <c r="O503" s="128"/>
      <c r="P503" s="167">
        <f t="shared" si="184"/>
        <v>5338</v>
      </c>
      <c r="Q503" s="167">
        <f t="shared" si="185"/>
        <v>5210</v>
      </c>
      <c r="R503" s="982">
        <f t="shared" si="177"/>
        <v>97.602098164106408</v>
      </c>
    </row>
    <row r="504" spans="2:18" ht="12" customHeight="1" x14ac:dyDescent="0.2">
      <c r="B504" s="172">
        <f t="shared" si="181"/>
        <v>499</v>
      </c>
      <c r="C504" s="126"/>
      <c r="D504" s="127"/>
      <c r="E504" s="127"/>
      <c r="F504" s="143" t="s">
        <v>218</v>
      </c>
      <c r="G504" s="201" t="s">
        <v>341</v>
      </c>
      <c r="H504" s="387">
        <f>SUM(H505:H507)</f>
        <v>2260</v>
      </c>
      <c r="I504" s="387">
        <f t="shared" ref="I504" si="192">SUM(I505:I507)</f>
        <v>2398</v>
      </c>
      <c r="J504" s="965">
        <f t="shared" si="176"/>
        <v>106.10619469026548</v>
      </c>
      <c r="K504" s="128"/>
      <c r="L504" s="141"/>
      <c r="M504" s="141"/>
      <c r="N504" s="1036"/>
      <c r="O504" s="128"/>
      <c r="P504" s="167">
        <f t="shared" si="184"/>
        <v>2260</v>
      </c>
      <c r="Q504" s="167">
        <f t="shared" si="185"/>
        <v>2398</v>
      </c>
      <c r="R504" s="982">
        <f t="shared" si="177"/>
        <v>106.10619469026548</v>
      </c>
    </row>
    <row r="505" spans="2:18" ht="12" customHeight="1" x14ac:dyDescent="0.2">
      <c r="B505" s="172">
        <f t="shared" si="181"/>
        <v>500</v>
      </c>
      <c r="C505" s="126"/>
      <c r="D505" s="127"/>
      <c r="E505" s="127"/>
      <c r="F505" s="127" t="s">
        <v>200</v>
      </c>
      <c r="G505" s="193" t="s">
        <v>247</v>
      </c>
      <c r="H505" s="570">
        <f>1230-139</f>
        <v>1091</v>
      </c>
      <c r="I505" s="570">
        <v>1182</v>
      </c>
      <c r="J505" s="966">
        <f t="shared" si="176"/>
        <v>108.3409715857012</v>
      </c>
      <c r="K505" s="128"/>
      <c r="L505" s="141"/>
      <c r="M505" s="141"/>
      <c r="N505" s="1036"/>
      <c r="O505" s="128"/>
      <c r="P505" s="168">
        <f t="shared" si="184"/>
        <v>1091</v>
      </c>
      <c r="Q505" s="168">
        <f t="shared" si="185"/>
        <v>1182</v>
      </c>
      <c r="R505" s="983">
        <f t="shared" si="177"/>
        <v>108.3409715857012</v>
      </c>
    </row>
    <row r="506" spans="2:18" ht="12" customHeight="1" x14ac:dyDescent="0.2">
      <c r="B506" s="172">
        <f t="shared" si="181"/>
        <v>501</v>
      </c>
      <c r="C506" s="126"/>
      <c r="D506" s="127"/>
      <c r="E506" s="127"/>
      <c r="F506" s="127" t="s">
        <v>214</v>
      </c>
      <c r="G506" s="193" t="s">
        <v>261</v>
      </c>
      <c r="H506" s="570">
        <v>100</v>
      </c>
      <c r="I506" s="570">
        <v>65</v>
      </c>
      <c r="J506" s="966">
        <f t="shared" si="176"/>
        <v>65</v>
      </c>
      <c r="K506" s="128"/>
      <c r="L506" s="141"/>
      <c r="M506" s="141"/>
      <c r="N506" s="1036"/>
      <c r="O506" s="128"/>
      <c r="P506" s="168">
        <f t="shared" si="184"/>
        <v>100</v>
      </c>
      <c r="Q506" s="168">
        <f t="shared" si="185"/>
        <v>65</v>
      </c>
      <c r="R506" s="983">
        <f t="shared" si="177"/>
        <v>65</v>
      </c>
    </row>
    <row r="507" spans="2:18" x14ac:dyDescent="0.2">
      <c r="B507" s="172">
        <f t="shared" si="181"/>
        <v>502</v>
      </c>
      <c r="C507" s="126"/>
      <c r="D507" s="127"/>
      <c r="E507" s="127"/>
      <c r="F507" s="127" t="s">
        <v>216</v>
      </c>
      <c r="G507" s="193" t="s">
        <v>248</v>
      </c>
      <c r="H507" s="570">
        <f>830+239</f>
        <v>1069</v>
      </c>
      <c r="I507" s="570">
        <v>1151</v>
      </c>
      <c r="J507" s="966">
        <f t="shared" si="176"/>
        <v>107.67072029934519</v>
      </c>
      <c r="K507" s="128"/>
      <c r="L507" s="141"/>
      <c r="M507" s="141"/>
      <c r="N507" s="1036"/>
      <c r="O507" s="128"/>
      <c r="P507" s="168">
        <f t="shared" si="184"/>
        <v>1069</v>
      </c>
      <c r="Q507" s="168">
        <f t="shared" si="185"/>
        <v>1151</v>
      </c>
      <c r="R507" s="983">
        <f t="shared" si="177"/>
        <v>107.67072029934519</v>
      </c>
    </row>
    <row r="508" spans="2:18" x14ac:dyDescent="0.2">
      <c r="B508" s="172">
        <f t="shared" si="181"/>
        <v>503</v>
      </c>
      <c r="C508" s="126"/>
      <c r="D508" s="127"/>
      <c r="E508" s="170"/>
      <c r="F508" s="286" t="s">
        <v>607</v>
      </c>
      <c r="G508" s="205" t="s">
        <v>725</v>
      </c>
      <c r="H508" s="570"/>
      <c r="I508" s="570"/>
      <c r="J508" s="966"/>
      <c r="K508" s="128"/>
      <c r="L508" s="394">
        <f>2960-288</f>
        <v>2672</v>
      </c>
      <c r="M508" s="394">
        <v>2672</v>
      </c>
      <c r="N508" s="1035">
        <f t="shared" si="183"/>
        <v>100</v>
      </c>
      <c r="O508" s="128"/>
      <c r="P508" s="167">
        <f t="shared" si="184"/>
        <v>2672</v>
      </c>
      <c r="Q508" s="167">
        <f t="shared" si="185"/>
        <v>2672</v>
      </c>
      <c r="R508" s="982">
        <f t="shared" si="177"/>
        <v>100</v>
      </c>
    </row>
    <row r="509" spans="2:18" ht="15" x14ac:dyDescent="0.25">
      <c r="B509" s="172">
        <f t="shared" si="181"/>
        <v>504</v>
      </c>
      <c r="C509" s="126"/>
      <c r="D509" s="263" t="s">
        <v>6</v>
      </c>
      <c r="E509" s="176" t="s">
        <v>405</v>
      </c>
      <c r="F509" s="147" t="s">
        <v>401</v>
      </c>
      <c r="G509" s="238"/>
      <c r="H509" s="427">
        <f>SUM(H510:H512)</f>
        <v>16476</v>
      </c>
      <c r="I509" s="427">
        <f>I510+I511+I512+I516</f>
        <v>16448</v>
      </c>
      <c r="J509" s="965">
        <f t="shared" si="176"/>
        <v>99.830055838795829</v>
      </c>
      <c r="K509" s="335"/>
      <c r="L509" s="432"/>
      <c r="M509" s="432"/>
      <c r="N509" s="1035"/>
      <c r="O509" s="335"/>
      <c r="P509" s="331">
        <f t="shared" si="184"/>
        <v>16476</v>
      </c>
      <c r="Q509" s="331">
        <f t="shared" si="185"/>
        <v>16448</v>
      </c>
      <c r="R509" s="982">
        <f t="shared" si="177"/>
        <v>99.830055838795829</v>
      </c>
    </row>
    <row r="510" spans="2:18" ht="12" customHeight="1" x14ac:dyDescent="0.2">
      <c r="B510" s="172">
        <f t="shared" si="181"/>
        <v>505</v>
      </c>
      <c r="C510" s="126"/>
      <c r="D510" s="127"/>
      <c r="E510" s="127"/>
      <c r="F510" s="143" t="s">
        <v>211</v>
      </c>
      <c r="G510" s="201" t="s">
        <v>506</v>
      </c>
      <c r="H510" s="387">
        <f>13710+686-3795</f>
        <v>10601</v>
      </c>
      <c r="I510" s="387">
        <v>10571</v>
      </c>
      <c r="J510" s="965">
        <f t="shared" si="176"/>
        <v>99.717007829450054</v>
      </c>
      <c r="K510" s="128"/>
      <c r="L510" s="141"/>
      <c r="M510" s="141"/>
      <c r="N510" s="1036"/>
      <c r="O510" s="128"/>
      <c r="P510" s="167">
        <f t="shared" si="184"/>
        <v>10601</v>
      </c>
      <c r="Q510" s="167">
        <f t="shared" si="185"/>
        <v>10571</v>
      </c>
      <c r="R510" s="982">
        <f t="shared" si="177"/>
        <v>99.717007829450054</v>
      </c>
    </row>
    <row r="511" spans="2:18" ht="12" customHeight="1" x14ac:dyDescent="0.2">
      <c r="B511" s="172">
        <f t="shared" si="181"/>
        <v>506</v>
      </c>
      <c r="C511" s="126"/>
      <c r="D511" s="127"/>
      <c r="E511" s="127"/>
      <c r="F511" s="143" t="s">
        <v>212</v>
      </c>
      <c r="G511" s="201" t="s">
        <v>259</v>
      </c>
      <c r="H511" s="387">
        <f>4924+246-1295</f>
        <v>3875</v>
      </c>
      <c r="I511" s="387">
        <v>3870</v>
      </c>
      <c r="J511" s="965">
        <f t="shared" si="176"/>
        <v>99.870967741935473</v>
      </c>
      <c r="K511" s="128"/>
      <c r="L511" s="141"/>
      <c r="M511" s="141"/>
      <c r="N511" s="1036"/>
      <c r="O511" s="128"/>
      <c r="P511" s="167">
        <f t="shared" si="184"/>
        <v>3875</v>
      </c>
      <c r="Q511" s="167">
        <f t="shared" si="185"/>
        <v>3870</v>
      </c>
      <c r="R511" s="982">
        <f t="shared" si="177"/>
        <v>99.870967741935473</v>
      </c>
    </row>
    <row r="512" spans="2:18" ht="12" customHeight="1" x14ac:dyDescent="0.2">
      <c r="B512" s="172">
        <f t="shared" si="181"/>
        <v>507</v>
      </c>
      <c r="C512" s="126"/>
      <c r="D512" s="127"/>
      <c r="E512" s="127"/>
      <c r="F512" s="143" t="s">
        <v>218</v>
      </c>
      <c r="G512" s="201" t="s">
        <v>341</v>
      </c>
      <c r="H512" s="387">
        <f>SUM(H513:H515)</f>
        <v>2000</v>
      </c>
      <c r="I512" s="387">
        <f t="shared" ref="I512" si="193">SUM(I513:I515)</f>
        <v>1972</v>
      </c>
      <c r="J512" s="965">
        <f t="shared" si="176"/>
        <v>98.6</v>
      </c>
      <c r="K512" s="128"/>
      <c r="L512" s="141"/>
      <c r="M512" s="141"/>
      <c r="N512" s="1036"/>
      <c r="O512" s="128"/>
      <c r="P512" s="167">
        <f t="shared" si="184"/>
        <v>2000</v>
      </c>
      <c r="Q512" s="167">
        <f t="shared" si="185"/>
        <v>1972</v>
      </c>
      <c r="R512" s="982">
        <f t="shared" si="177"/>
        <v>98.6</v>
      </c>
    </row>
    <row r="513" spans="2:18" ht="12" customHeight="1" x14ac:dyDescent="0.2">
      <c r="B513" s="172">
        <f t="shared" si="181"/>
        <v>508</v>
      </c>
      <c r="C513" s="126"/>
      <c r="D513" s="127"/>
      <c r="E513" s="127"/>
      <c r="F513" s="127" t="s">
        <v>200</v>
      </c>
      <c r="G513" s="193" t="s">
        <v>247</v>
      </c>
      <c r="H513" s="570">
        <v>1020</v>
      </c>
      <c r="I513" s="570">
        <v>1281</v>
      </c>
      <c r="J513" s="966">
        <f t="shared" si="176"/>
        <v>125.58823529411765</v>
      </c>
      <c r="K513" s="128"/>
      <c r="L513" s="141"/>
      <c r="M513" s="141"/>
      <c r="N513" s="1036"/>
      <c r="O513" s="128"/>
      <c r="P513" s="168">
        <f t="shared" si="184"/>
        <v>1020</v>
      </c>
      <c r="Q513" s="168">
        <f t="shared" si="185"/>
        <v>1281</v>
      </c>
      <c r="R513" s="983">
        <f t="shared" si="177"/>
        <v>125.58823529411765</v>
      </c>
    </row>
    <row r="514" spans="2:18" ht="12" customHeight="1" x14ac:dyDescent="0.2">
      <c r="B514" s="172">
        <f t="shared" si="181"/>
        <v>509</v>
      </c>
      <c r="C514" s="126"/>
      <c r="D514" s="127"/>
      <c r="E514" s="127"/>
      <c r="F514" s="127" t="s">
        <v>214</v>
      </c>
      <c r="G514" s="193" t="s">
        <v>261</v>
      </c>
      <c r="H514" s="570">
        <v>100</v>
      </c>
      <c r="I514" s="570">
        <v>67</v>
      </c>
      <c r="J514" s="966">
        <f t="shared" si="176"/>
        <v>67</v>
      </c>
      <c r="K514" s="128"/>
      <c r="L514" s="141"/>
      <c r="M514" s="141"/>
      <c r="N514" s="1036"/>
      <c r="O514" s="128"/>
      <c r="P514" s="168">
        <f t="shared" si="184"/>
        <v>100</v>
      </c>
      <c r="Q514" s="168">
        <f t="shared" si="185"/>
        <v>67</v>
      </c>
      <c r="R514" s="983">
        <f t="shared" si="177"/>
        <v>67</v>
      </c>
    </row>
    <row r="515" spans="2:18" x14ac:dyDescent="0.2">
      <c r="B515" s="172">
        <f t="shared" si="181"/>
        <v>510</v>
      </c>
      <c r="C515" s="126"/>
      <c r="D515" s="127"/>
      <c r="E515" s="127"/>
      <c r="F515" s="127" t="s">
        <v>216</v>
      </c>
      <c r="G515" s="193" t="s">
        <v>248</v>
      </c>
      <c r="H515" s="570">
        <v>880</v>
      </c>
      <c r="I515" s="570">
        <v>624</v>
      </c>
      <c r="J515" s="966">
        <f t="shared" si="176"/>
        <v>70.909090909090907</v>
      </c>
      <c r="K515" s="128"/>
      <c r="L515" s="141"/>
      <c r="M515" s="141"/>
      <c r="N515" s="1036"/>
      <c r="O515" s="128"/>
      <c r="P515" s="168">
        <f t="shared" si="184"/>
        <v>880</v>
      </c>
      <c r="Q515" s="168">
        <f t="shared" si="185"/>
        <v>624</v>
      </c>
      <c r="R515" s="983">
        <f t="shared" si="177"/>
        <v>70.909090909090907</v>
      </c>
    </row>
    <row r="516" spans="2:18" x14ac:dyDescent="0.2">
      <c r="B516" s="172">
        <f t="shared" si="181"/>
        <v>511</v>
      </c>
      <c r="C516" s="126"/>
      <c r="D516" s="127"/>
      <c r="E516" s="170"/>
      <c r="F516" s="143" t="s">
        <v>217</v>
      </c>
      <c r="G516" s="201" t="s">
        <v>372</v>
      </c>
      <c r="H516" s="387">
        <v>0</v>
      </c>
      <c r="I516" s="387">
        <v>35</v>
      </c>
      <c r="J516" s="965">
        <v>0</v>
      </c>
      <c r="K516" s="145"/>
      <c r="L516" s="394"/>
      <c r="M516" s="394"/>
      <c r="N516" s="1035"/>
      <c r="O516" s="145"/>
      <c r="P516" s="167">
        <f t="shared" si="184"/>
        <v>0</v>
      </c>
      <c r="Q516" s="167">
        <f t="shared" si="185"/>
        <v>35</v>
      </c>
      <c r="R516" s="982">
        <v>0</v>
      </c>
    </row>
    <row r="517" spans="2:18" ht="15" x14ac:dyDescent="0.25">
      <c r="B517" s="172">
        <f t="shared" si="181"/>
        <v>512</v>
      </c>
      <c r="C517" s="126"/>
      <c r="D517" s="263" t="s">
        <v>7</v>
      </c>
      <c r="E517" s="176" t="s">
        <v>405</v>
      </c>
      <c r="F517" s="147" t="s">
        <v>402</v>
      </c>
      <c r="G517" s="238"/>
      <c r="H517" s="427">
        <f>SUM(H518:H520)</f>
        <v>21686</v>
      </c>
      <c r="I517" s="427">
        <f t="shared" ref="I517" si="194">SUM(I518:I520)</f>
        <v>21734</v>
      </c>
      <c r="J517" s="965">
        <f t="shared" si="176"/>
        <v>100.22134095729965</v>
      </c>
      <c r="K517" s="335"/>
      <c r="L517" s="432"/>
      <c r="M517" s="432"/>
      <c r="N517" s="1035"/>
      <c r="O517" s="335"/>
      <c r="P517" s="331">
        <f t="shared" si="184"/>
        <v>21686</v>
      </c>
      <c r="Q517" s="331">
        <f t="shared" si="185"/>
        <v>21734</v>
      </c>
      <c r="R517" s="982">
        <f t="shared" si="177"/>
        <v>100.22134095729965</v>
      </c>
    </row>
    <row r="518" spans="2:18" ht="12" customHeight="1" x14ac:dyDescent="0.2">
      <c r="B518" s="172">
        <f t="shared" si="181"/>
        <v>513</v>
      </c>
      <c r="C518" s="126"/>
      <c r="D518" s="127"/>
      <c r="E518" s="127"/>
      <c r="F518" s="143" t="s">
        <v>211</v>
      </c>
      <c r="G518" s="201" t="s">
        <v>506</v>
      </c>
      <c r="H518" s="387">
        <f>19220+961-6491+700</f>
        <v>14390</v>
      </c>
      <c r="I518" s="387">
        <v>14402</v>
      </c>
      <c r="J518" s="965">
        <f t="shared" si="176"/>
        <v>100.08339124391938</v>
      </c>
      <c r="K518" s="128"/>
      <c r="L518" s="141"/>
      <c r="M518" s="141"/>
      <c r="N518" s="1036"/>
      <c r="O518" s="128"/>
      <c r="P518" s="167">
        <f t="shared" si="184"/>
        <v>14390</v>
      </c>
      <c r="Q518" s="167">
        <f t="shared" si="185"/>
        <v>14402</v>
      </c>
      <c r="R518" s="982">
        <f t="shared" si="177"/>
        <v>100.08339124391938</v>
      </c>
    </row>
    <row r="519" spans="2:18" ht="12" customHeight="1" x14ac:dyDescent="0.2">
      <c r="B519" s="172">
        <f t="shared" si="181"/>
        <v>514</v>
      </c>
      <c r="C519" s="126"/>
      <c r="D519" s="127"/>
      <c r="E519" s="127"/>
      <c r="F519" s="143" t="s">
        <v>212</v>
      </c>
      <c r="G519" s="201" t="s">
        <v>259</v>
      </c>
      <c r="H519" s="387">
        <f>7171+359-2550+226</f>
        <v>5206</v>
      </c>
      <c r="I519" s="387">
        <v>5194</v>
      </c>
      <c r="J519" s="965">
        <f t="shared" si="176"/>
        <v>99.769496734537071</v>
      </c>
      <c r="K519" s="128"/>
      <c r="L519" s="141"/>
      <c r="M519" s="141"/>
      <c r="N519" s="1036"/>
      <c r="O519" s="128"/>
      <c r="P519" s="167">
        <f t="shared" si="184"/>
        <v>5206</v>
      </c>
      <c r="Q519" s="167">
        <f t="shared" si="185"/>
        <v>5194</v>
      </c>
      <c r="R519" s="982">
        <f t="shared" si="177"/>
        <v>99.769496734537071</v>
      </c>
    </row>
    <row r="520" spans="2:18" ht="12" customHeight="1" x14ac:dyDescent="0.2">
      <c r="B520" s="172">
        <f t="shared" si="181"/>
        <v>515</v>
      </c>
      <c r="C520" s="126"/>
      <c r="D520" s="127"/>
      <c r="E520" s="127"/>
      <c r="F520" s="143" t="s">
        <v>218</v>
      </c>
      <c r="G520" s="201" t="s">
        <v>341</v>
      </c>
      <c r="H520" s="387">
        <f>SUM(H521:H523)</f>
        <v>2090</v>
      </c>
      <c r="I520" s="387">
        <f t="shared" ref="I520" si="195">SUM(I521:I523)</f>
        <v>2138</v>
      </c>
      <c r="J520" s="965">
        <f t="shared" si="176"/>
        <v>102.29665071770336</v>
      </c>
      <c r="K520" s="128"/>
      <c r="L520" s="141"/>
      <c r="M520" s="141"/>
      <c r="N520" s="1036"/>
      <c r="O520" s="128"/>
      <c r="P520" s="167">
        <f t="shared" si="184"/>
        <v>2090</v>
      </c>
      <c r="Q520" s="167">
        <f t="shared" si="185"/>
        <v>2138</v>
      </c>
      <c r="R520" s="982">
        <f t="shared" si="177"/>
        <v>102.29665071770336</v>
      </c>
    </row>
    <row r="521" spans="2:18" ht="12" customHeight="1" x14ac:dyDescent="0.2">
      <c r="B521" s="172">
        <f t="shared" si="181"/>
        <v>516</v>
      </c>
      <c r="C521" s="126"/>
      <c r="D521" s="127"/>
      <c r="E521" s="127"/>
      <c r="F521" s="127" t="s">
        <v>200</v>
      </c>
      <c r="G521" s="193" t="s">
        <v>247</v>
      </c>
      <c r="H521" s="570">
        <f>1380-100</f>
        <v>1280</v>
      </c>
      <c r="I521" s="570">
        <v>1424</v>
      </c>
      <c r="J521" s="966">
        <f t="shared" si="176"/>
        <v>111.25</v>
      </c>
      <c r="K521" s="128"/>
      <c r="L521" s="141"/>
      <c r="M521" s="141"/>
      <c r="N521" s="1036"/>
      <c r="O521" s="128"/>
      <c r="P521" s="168">
        <f t="shared" si="184"/>
        <v>1280</v>
      </c>
      <c r="Q521" s="168">
        <f t="shared" si="185"/>
        <v>1424</v>
      </c>
      <c r="R521" s="983">
        <f t="shared" si="177"/>
        <v>111.25</v>
      </c>
    </row>
    <row r="522" spans="2:18" ht="12" customHeight="1" x14ac:dyDescent="0.2">
      <c r="B522" s="172">
        <f t="shared" si="181"/>
        <v>517</v>
      </c>
      <c r="C522" s="126"/>
      <c r="D522" s="127"/>
      <c r="E522" s="127"/>
      <c r="F522" s="127" t="s">
        <v>214</v>
      </c>
      <c r="G522" s="193" t="s">
        <v>261</v>
      </c>
      <c r="H522" s="570">
        <v>100</v>
      </c>
      <c r="I522" s="570">
        <v>41</v>
      </c>
      <c r="J522" s="966">
        <f t="shared" si="176"/>
        <v>41</v>
      </c>
      <c r="K522" s="128"/>
      <c r="L522" s="141"/>
      <c r="M522" s="141"/>
      <c r="N522" s="1036"/>
      <c r="O522" s="128"/>
      <c r="P522" s="168">
        <f t="shared" si="184"/>
        <v>100</v>
      </c>
      <c r="Q522" s="168">
        <f t="shared" si="185"/>
        <v>41</v>
      </c>
      <c r="R522" s="983">
        <f t="shared" si="177"/>
        <v>41</v>
      </c>
    </row>
    <row r="523" spans="2:18" x14ac:dyDescent="0.2">
      <c r="B523" s="172">
        <f t="shared" si="181"/>
        <v>518</v>
      </c>
      <c r="C523" s="126"/>
      <c r="D523" s="127"/>
      <c r="E523" s="127"/>
      <c r="F523" s="127" t="s">
        <v>216</v>
      </c>
      <c r="G523" s="193" t="s">
        <v>248</v>
      </c>
      <c r="H523" s="570">
        <v>710</v>
      </c>
      <c r="I523" s="570">
        <v>673</v>
      </c>
      <c r="J523" s="966">
        <f t="shared" si="176"/>
        <v>94.788732394366193</v>
      </c>
      <c r="K523" s="128"/>
      <c r="L523" s="141"/>
      <c r="M523" s="141"/>
      <c r="N523" s="1036"/>
      <c r="O523" s="128"/>
      <c r="P523" s="168">
        <f t="shared" si="184"/>
        <v>710</v>
      </c>
      <c r="Q523" s="168">
        <f t="shared" si="185"/>
        <v>673</v>
      </c>
      <c r="R523" s="983">
        <f t="shared" si="177"/>
        <v>94.788732394366193</v>
      </c>
    </row>
    <row r="524" spans="2:18" ht="15" x14ac:dyDescent="0.25">
      <c r="B524" s="172">
        <f t="shared" si="181"/>
        <v>519</v>
      </c>
      <c r="C524" s="126"/>
      <c r="D524" s="263" t="s">
        <v>8</v>
      </c>
      <c r="E524" s="176" t="s">
        <v>405</v>
      </c>
      <c r="F524" s="147" t="s">
        <v>403</v>
      </c>
      <c r="G524" s="238"/>
      <c r="H524" s="530">
        <f>SUM(H525:H527)+H531</f>
        <v>27320</v>
      </c>
      <c r="I524" s="530">
        <f t="shared" ref="I524" si="196">SUM(I525:I527)+I531</f>
        <v>27364</v>
      </c>
      <c r="J524" s="1029">
        <f t="shared" si="176"/>
        <v>100.16105417276719</v>
      </c>
      <c r="K524" s="335"/>
      <c r="L524" s="432">
        <f>L532</f>
        <v>5476</v>
      </c>
      <c r="M524" s="432">
        <f t="shared" ref="M524" si="197">M532</f>
        <v>5476</v>
      </c>
      <c r="N524" s="1035">
        <f t="shared" si="183"/>
        <v>100</v>
      </c>
      <c r="O524" s="335"/>
      <c r="P524" s="331">
        <f t="shared" si="184"/>
        <v>32796</v>
      </c>
      <c r="Q524" s="331">
        <f t="shared" si="185"/>
        <v>32840</v>
      </c>
      <c r="R524" s="982">
        <f t="shared" si="177"/>
        <v>100.13416270276862</v>
      </c>
    </row>
    <row r="525" spans="2:18" ht="12" customHeight="1" x14ac:dyDescent="0.2">
      <c r="B525" s="172">
        <f t="shared" si="181"/>
        <v>520</v>
      </c>
      <c r="C525" s="126"/>
      <c r="D525" s="127"/>
      <c r="E525" s="127"/>
      <c r="F525" s="143" t="s">
        <v>211</v>
      </c>
      <c r="G525" s="201" t="s">
        <v>506</v>
      </c>
      <c r="H525" s="387">
        <f>15885+794+226</f>
        <v>16905</v>
      </c>
      <c r="I525" s="387">
        <v>17929</v>
      </c>
      <c r="J525" s="965">
        <f t="shared" si="176"/>
        <v>106.05737947352853</v>
      </c>
      <c r="K525" s="128"/>
      <c r="L525" s="141"/>
      <c r="M525" s="141"/>
      <c r="N525" s="1036"/>
      <c r="O525" s="128"/>
      <c r="P525" s="167">
        <f t="shared" si="184"/>
        <v>16905</v>
      </c>
      <c r="Q525" s="167">
        <f t="shared" si="185"/>
        <v>17929</v>
      </c>
      <c r="R525" s="982">
        <f t="shared" si="177"/>
        <v>106.05737947352853</v>
      </c>
    </row>
    <row r="526" spans="2:18" ht="12" customHeight="1" x14ac:dyDescent="0.2">
      <c r="B526" s="172">
        <f t="shared" si="181"/>
        <v>521</v>
      </c>
      <c r="C526" s="126"/>
      <c r="D526" s="127"/>
      <c r="E526" s="127"/>
      <c r="F526" s="143" t="s">
        <v>212</v>
      </c>
      <c r="G526" s="201" t="s">
        <v>259</v>
      </c>
      <c r="H526" s="387">
        <f>5854+293-443</f>
        <v>5704</v>
      </c>
      <c r="I526" s="387">
        <v>6270</v>
      </c>
      <c r="J526" s="965">
        <f t="shared" si="176"/>
        <v>109.92286115007013</v>
      </c>
      <c r="K526" s="128"/>
      <c r="L526" s="141"/>
      <c r="M526" s="141"/>
      <c r="N526" s="1036"/>
      <c r="O526" s="128"/>
      <c r="P526" s="167">
        <f t="shared" si="184"/>
        <v>5704</v>
      </c>
      <c r="Q526" s="167">
        <f t="shared" si="185"/>
        <v>6270</v>
      </c>
      <c r="R526" s="982">
        <f t="shared" si="177"/>
        <v>109.92286115007013</v>
      </c>
    </row>
    <row r="527" spans="2:18" ht="12" customHeight="1" x14ac:dyDescent="0.2">
      <c r="B527" s="172">
        <f t="shared" si="181"/>
        <v>522</v>
      </c>
      <c r="C527" s="126"/>
      <c r="D527" s="127"/>
      <c r="E527" s="127"/>
      <c r="F527" s="143" t="s">
        <v>218</v>
      </c>
      <c r="G527" s="201" t="s">
        <v>341</v>
      </c>
      <c r="H527" s="387">
        <f>SUM(H528:H530)</f>
        <v>2170</v>
      </c>
      <c r="I527" s="387">
        <f t="shared" ref="I527" si="198">SUM(I528:I530)</f>
        <v>2213</v>
      </c>
      <c r="J527" s="965">
        <f t="shared" si="176"/>
        <v>101.9815668202765</v>
      </c>
      <c r="K527" s="128"/>
      <c r="L527" s="141"/>
      <c r="M527" s="141"/>
      <c r="N527" s="1036"/>
      <c r="O527" s="128"/>
      <c r="P527" s="167">
        <f t="shared" si="184"/>
        <v>2170</v>
      </c>
      <c r="Q527" s="167">
        <f t="shared" si="185"/>
        <v>2213</v>
      </c>
      <c r="R527" s="982">
        <f t="shared" si="177"/>
        <v>101.9815668202765</v>
      </c>
    </row>
    <row r="528" spans="2:18" ht="12" customHeight="1" x14ac:dyDescent="0.2">
      <c r="B528" s="172">
        <f t="shared" si="181"/>
        <v>523</v>
      </c>
      <c r="C528" s="126"/>
      <c r="D528" s="127"/>
      <c r="E528" s="127"/>
      <c r="F528" s="127" t="s">
        <v>200</v>
      </c>
      <c r="G528" s="193" t="s">
        <v>247</v>
      </c>
      <c r="H528" s="570">
        <v>1230</v>
      </c>
      <c r="I528" s="570">
        <v>1456</v>
      </c>
      <c r="J528" s="966">
        <f t="shared" si="176"/>
        <v>118.37398373983741</v>
      </c>
      <c r="K528" s="128"/>
      <c r="L528" s="141"/>
      <c r="M528" s="141"/>
      <c r="N528" s="1036"/>
      <c r="O528" s="128"/>
      <c r="P528" s="169">
        <f t="shared" si="184"/>
        <v>1230</v>
      </c>
      <c r="Q528" s="169">
        <f t="shared" si="185"/>
        <v>1456</v>
      </c>
      <c r="R528" s="986">
        <f t="shared" si="177"/>
        <v>118.37398373983741</v>
      </c>
    </row>
    <row r="529" spans="2:18" ht="12" customHeight="1" x14ac:dyDescent="0.2">
      <c r="B529" s="172">
        <f t="shared" si="181"/>
        <v>524</v>
      </c>
      <c r="C529" s="126"/>
      <c r="D529" s="127"/>
      <c r="E529" s="127"/>
      <c r="F529" s="127" t="s">
        <v>214</v>
      </c>
      <c r="G529" s="193" t="s">
        <v>261</v>
      </c>
      <c r="H529" s="570">
        <v>100</v>
      </c>
      <c r="I529" s="570">
        <v>41</v>
      </c>
      <c r="J529" s="966">
        <f t="shared" si="176"/>
        <v>41</v>
      </c>
      <c r="K529" s="128"/>
      <c r="L529" s="141"/>
      <c r="M529" s="141"/>
      <c r="N529" s="1036"/>
      <c r="O529" s="128"/>
      <c r="P529" s="169">
        <f t="shared" si="184"/>
        <v>100</v>
      </c>
      <c r="Q529" s="169">
        <f t="shared" si="185"/>
        <v>41</v>
      </c>
      <c r="R529" s="986">
        <f t="shared" si="177"/>
        <v>41</v>
      </c>
    </row>
    <row r="530" spans="2:18" x14ac:dyDescent="0.2">
      <c r="B530" s="172">
        <f t="shared" si="181"/>
        <v>525</v>
      </c>
      <c r="C530" s="126"/>
      <c r="D530" s="127"/>
      <c r="E530" s="127"/>
      <c r="F530" s="127" t="s">
        <v>216</v>
      </c>
      <c r="G530" s="193" t="s">
        <v>248</v>
      </c>
      <c r="H530" s="381">
        <v>840</v>
      </c>
      <c r="I530" s="381">
        <v>716</v>
      </c>
      <c r="J530" s="978">
        <f t="shared" si="176"/>
        <v>85.238095238095241</v>
      </c>
      <c r="K530" s="182"/>
      <c r="L530" s="139"/>
      <c r="M530" s="139"/>
      <c r="N530" s="1037"/>
      <c r="O530" s="128"/>
      <c r="P530" s="169">
        <f t="shared" si="184"/>
        <v>840</v>
      </c>
      <c r="Q530" s="169">
        <f t="shared" si="185"/>
        <v>716</v>
      </c>
      <c r="R530" s="986">
        <f t="shared" si="177"/>
        <v>85.238095238095241</v>
      </c>
    </row>
    <row r="531" spans="2:18" x14ac:dyDescent="0.2">
      <c r="B531" s="172">
        <f t="shared" si="181"/>
        <v>526</v>
      </c>
      <c r="C531" s="126"/>
      <c r="D531" s="127"/>
      <c r="E531" s="170"/>
      <c r="F531" s="143" t="s">
        <v>217</v>
      </c>
      <c r="G531" s="201" t="s">
        <v>372</v>
      </c>
      <c r="H531" s="444">
        <f>780+1761</f>
        <v>2541</v>
      </c>
      <c r="I531" s="444">
        <v>952</v>
      </c>
      <c r="J531" s="995">
        <f t="shared" si="176"/>
        <v>37.465564738292009</v>
      </c>
      <c r="K531" s="128"/>
      <c r="L531" s="139"/>
      <c r="M531" s="139"/>
      <c r="N531" s="1037"/>
      <c r="O531" s="128"/>
      <c r="P531" s="169">
        <f t="shared" si="184"/>
        <v>2541</v>
      </c>
      <c r="Q531" s="169">
        <f t="shared" si="185"/>
        <v>952</v>
      </c>
      <c r="R531" s="986">
        <f t="shared" si="177"/>
        <v>37.465564738292009</v>
      </c>
    </row>
    <row r="532" spans="2:18" x14ac:dyDescent="0.2">
      <c r="B532" s="172">
        <f t="shared" si="181"/>
        <v>527</v>
      </c>
      <c r="C532" s="126"/>
      <c r="D532" s="127"/>
      <c r="E532" s="170"/>
      <c r="F532" s="452" t="s">
        <v>607</v>
      </c>
      <c r="G532" s="531" t="s">
        <v>726</v>
      </c>
      <c r="H532" s="381"/>
      <c r="I532" s="381"/>
      <c r="J532" s="978"/>
      <c r="K532" s="128"/>
      <c r="L532" s="144">
        <f>3120+2356</f>
        <v>5476</v>
      </c>
      <c r="M532" s="144">
        <v>5476</v>
      </c>
      <c r="N532" s="1040">
        <f t="shared" si="183"/>
        <v>100</v>
      </c>
      <c r="O532" s="128"/>
      <c r="P532" s="575">
        <f t="shared" si="184"/>
        <v>5476</v>
      </c>
      <c r="Q532" s="575">
        <f t="shared" si="185"/>
        <v>5476</v>
      </c>
      <c r="R532" s="1001">
        <f t="shared" si="177"/>
        <v>100</v>
      </c>
    </row>
    <row r="533" spans="2:18" ht="15" x14ac:dyDescent="0.25">
      <c r="B533" s="172">
        <f t="shared" si="181"/>
        <v>528</v>
      </c>
      <c r="C533" s="126"/>
      <c r="D533" s="263" t="s">
        <v>169</v>
      </c>
      <c r="E533" s="176" t="s">
        <v>405</v>
      </c>
      <c r="F533" s="147" t="s">
        <v>404</v>
      </c>
      <c r="G533" s="238"/>
      <c r="H533" s="427">
        <f>SUM(H534:H536)</f>
        <v>35726</v>
      </c>
      <c r="I533" s="427">
        <f>I534+I535+I536+I540</f>
        <v>37249</v>
      </c>
      <c r="J533" s="965">
        <f t="shared" si="176"/>
        <v>104.26300173543078</v>
      </c>
      <c r="K533" s="335"/>
      <c r="L533" s="529">
        <f>L541</f>
        <v>13290</v>
      </c>
      <c r="M533" s="529">
        <f t="shared" ref="M533" si="199">M541</f>
        <v>13290</v>
      </c>
      <c r="N533" s="1040">
        <f t="shared" si="183"/>
        <v>100</v>
      </c>
      <c r="O533" s="335"/>
      <c r="P533" s="344">
        <f t="shared" si="184"/>
        <v>49016</v>
      </c>
      <c r="Q533" s="344">
        <f t="shared" si="185"/>
        <v>50539</v>
      </c>
      <c r="R533" s="1001">
        <f t="shared" si="177"/>
        <v>103.1071486861433</v>
      </c>
    </row>
    <row r="534" spans="2:18" ht="12" customHeight="1" x14ac:dyDescent="0.2">
      <c r="B534" s="172">
        <f t="shared" si="181"/>
        <v>529</v>
      </c>
      <c r="C534" s="126"/>
      <c r="D534" s="127"/>
      <c r="E534" s="127"/>
      <c r="F534" s="143" t="s">
        <v>211</v>
      </c>
      <c r="G534" s="201" t="s">
        <v>506</v>
      </c>
      <c r="H534" s="387">
        <f>24295+1215-1461</f>
        <v>24049</v>
      </c>
      <c r="I534" s="387">
        <v>23729</v>
      </c>
      <c r="J534" s="965">
        <f t="shared" si="176"/>
        <v>98.669383342342726</v>
      </c>
      <c r="K534" s="128"/>
      <c r="L534" s="139"/>
      <c r="M534" s="139"/>
      <c r="N534" s="1037"/>
      <c r="O534" s="128"/>
      <c r="P534" s="167">
        <f t="shared" si="184"/>
        <v>24049</v>
      </c>
      <c r="Q534" s="167">
        <f t="shared" si="185"/>
        <v>23729</v>
      </c>
      <c r="R534" s="982">
        <f t="shared" si="177"/>
        <v>98.669383342342726</v>
      </c>
    </row>
    <row r="535" spans="2:18" ht="12" customHeight="1" x14ac:dyDescent="0.2">
      <c r="B535" s="172">
        <f t="shared" si="181"/>
        <v>530</v>
      </c>
      <c r="C535" s="126"/>
      <c r="D535" s="127"/>
      <c r="E535" s="127"/>
      <c r="F535" s="143" t="s">
        <v>212</v>
      </c>
      <c r="G535" s="201" t="s">
        <v>259</v>
      </c>
      <c r="H535" s="387">
        <f>9091+455-842</f>
        <v>8704</v>
      </c>
      <c r="I535" s="387">
        <v>8736</v>
      </c>
      <c r="J535" s="965">
        <f t="shared" si="176"/>
        <v>100.36764705882352</v>
      </c>
      <c r="K535" s="128"/>
      <c r="L535" s="139"/>
      <c r="M535" s="139"/>
      <c r="N535" s="1037"/>
      <c r="O535" s="128"/>
      <c r="P535" s="167">
        <f t="shared" si="184"/>
        <v>8704</v>
      </c>
      <c r="Q535" s="167">
        <f t="shared" si="185"/>
        <v>8736</v>
      </c>
      <c r="R535" s="982">
        <f t="shared" si="177"/>
        <v>100.36764705882352</v>
      </c>
    </row>
    <row r="536" spans="2:18" ht="12" customHeight="1" x14ac:dyDescent="0.2">
      <c r="B536" s="172">
        <f t="shared" si="181"/>
        <v>531</v>
      </c>
      <c r="C536" s="126"/>
      <c r="D536" s="127"/>
      <c r="E536" s="127"/>
      <c r="F536" s="143" t="s">
        <v>218</v>
      </c>
      <c r="G536" s="201" t="s">
        <v>341</v>
      </c>
      <c r="H536" s="387">
        <f>SUM(H537:H539)</f>
        <v>2973</v>
      </c>
      <c r="I536" s="387">
        <f t="shared" ref="I536" si="200">SUM(I537:I539)</f>
        <v>4496</v>
      </c>
      <c r="J536" s="965">
        <f t="shared" si="176"/>
        <v>151.22771611167173</v>
      </c>
      <c r="K536" s="128"/>
      <c r="L536" s="141"/>
      <c r="M536" s="141"/>
      <c r="N536" s="1036"/>
      <c r="O536" s="128"/>
      <c r="P536" s="167">
        <f t="shared" si="184"/>
        <v>2973</v>
      </c>
      <c r="Q536" s="167">
        <f t="shared" si="185"/>
        <v>4496</v>
      </c>
      <c r="R536" s="982">
        <f t="shared" si="177"/>
        <v>151.22771611167173</v>
      </c>
    </row>
    <row r="537" spans="2:18" ht="12" customHeight="1" x14ac:dyDescent="0.2">
      <c r="B537" s="172">
        <f t="shared" si="181"/>
        <v>532</v>
      </c>
      <c r="C537" s="126"/>
      <c r="D537" s="127"/>
      <c r="E537" s="127"/>
      <c r="F537" s="127" t="s">
        <v>200</v>
      </c>
      <c r="G537" s="193" t="s">
        <v>247</v>
      </c>
      <c r="H537" s="570">
        <f>1750-100</f>
        <v>1650</v>
      </c>
      <c r="I537" s="570">
        <v>3092</v>
      </c>
      <c r="J537" s="966">
        <f t="shared" ref="J537:J605" si="201">I537/H537*100</f>
        <v>187.39393939393941</v>
      </c>
      <c r="K537" s="128"/>
      <c r="L537" s="141"/>
      <c r="M537" s="141"/>
      <c r="N537" s="1036"/>
      <c r="O537" s="128"/>
      <c r="P537" s="168">
        <f t="shared" si="184"/>
        <v>1650</v>
      </c>
      <c r="Q537" s="168">
        <f t="shared" si="185"/>
        <v>3092</v>
      </c>
      <c r="R537" s="983">
        <f t="shared" ref="R537:R605" si="202">Q537/P537*100</f>
        <v>187.39393939393941</v>
      </c>
    </row>
    <row r="538" spans="2:18" ht="12" customHeight="1" x14ac:dyDescent="0.2">
      <c r="B538" s="172">
        <f t="shared" si="181"/>
        <v>533</v>
      </c>
      <c r="C538" s="126"/>
      <c r="D538" s="127"/>
      <c r="E538" s="127"/>
      <c r="F538" s="127" t="s">
        <v>214</v>
      </c>
      <c r="G538" s="193" t="s">
        <v>261</v>
      </c>
      <c r="H538" s="570">
        <v>100</v>
      </c>
      <c r="I538" s="570">
        <v>149</v>
      </c>
      <c r="J538" s="966">
        <f t="shared" si="201"/>
        <v>149</v>
      </c>
      <c r="K538" s="128"/>
      <c r="L538" s="141"/>
      <c r="M538" s="141"/>
      <c r="N538" s="1036"/>
      <c r="O538" s="128"/>
      <c r="P538" s="168">
        <f t="shared" si="184"/>
        <v>100</v>
      </c>
      <c r="Q538" s="168">
        <f t="shared" si="185"/>
        <v>149</v>
      </c>
      <c r="R538" s="983">
        <f t="shared" si="202"/>
        <v>149</v>
      </c>
    </row>
    <row r="539" spans="2:18" x14ac:dyDescent="0.2">
      <c r="B539" s="172">
        <f t="shared" si="181"/>
        <v>534</v>
      </c>
      <c r="C539" s="126"/>
      <c r="D539" s="127"/>
      <c r="E539" s="127"/>
      <c r="F539" s="127" t="s">
        <v>216</v>
      </c>
      <c r="G539" s="193" t="s">
        <v>248</v>
      </c>
      <c r="H539" s="570">
        <f>950+273</f>
        <v>1223</v>
      </c>
      <c r="I539" s="570">
        <v>1255</v>
      </c>
      <c r="J539" s="966">
        <f t="shared" si="201"/>
        <v>102.61651676206051</v>
      </c>
      <c r="K539" s="128"/>
      <c r="L539" s="141"/>
      <c r="M539" s="141"/>
      <c r="N539" s="1036"/>
      <c r="O539" s="128"/>
      <c r="P539" s="168">
        <f t="shared" si="184"/>
        <v>1223</v>
      </c>
      <c r="Q539" s="168">
        <f t="shared" si="185"/>
        <v>1255</v>
      </c>
      <c r="R539" s="983">
        <f t="shared" si="202"/>
        <v>102.61651676206051</v>
      </c>
    </row>
    <row r="540" spans="2:18" x14ac:dyDescent="0.2">
      <c r="B540" s="172">
        <f t="shared" si="181"/>
        <v>535</v>
      </c>
      <c r="C540" s="126"/>
      <c r="D540" s="127"/>
      <c r="E540" s="170"/>
      <c r="F540" s="143" t="s">
        <v>217</v>
      </c>
      <c r="G540" s="201" t="s">
        <v>372</v>
      </c>
      <c r="H540" s="387">
        <v>0</v>
      </c>
      <c r="I540" s="387">
        <v>288</v>
      </c>
      <c r="J540" s="965">
        <v>0</v>
      </c>
      <c r="K540" s="145"/>
      <c r="L540" s="394"/>
      <c r="M540" s="394"/>
      <c r="N540" s="1035"/>
      <c r="O540" s="145"/>
      <c r="P540" s="167">
        <v>0</v>
      </c>
      <c r="Q540" s="167">
        <f t="shared" si="185"/>
        <v>288</v>
      </c>
      <c r="R540" s="982">
        <v>0</v>
      </c>
    </row>
    <row r="541" spans="2:18" x14ac:dyDescent="0.2">
      <c r="B541" s="172">
        <f t="shared" si="181"/>
        <v>536</v>
      </c>
      <c r="C541" s="126"/>
      <c r="D541" s="127"/>
      <c r="E541" s="170"/>
      <c r="F541" s="452" t="s">
        <v>607</v>
      </c>
      <c r="G541" s="531" t="s">
        <v>727</v>
      </c>
      <c r="H541" s="399"/>
      <c r="I541" s="399"/>
      <c r="J541" s="966"/>
      <c r="K541" s="338"/>
      <c r="L541" s="400">
        <f>13900-610</f>
        <v>13290</v>
      </c>
      <c r="M541" s="400">
        <v>13290</v>
      </c>
      <c r="N541" s="1035">
        <f t="shared" ref="N541:N603" si="203">M541/L541*100</f>
        <v>100</v>
      </c>
      <c r="O541" s="338"/>
      <c r="P541" s="167">
        <f t="shared" ref="P541:P545" si="204">H541+L541</f>
        <v>13290</v>
      </c>
      <c r="Q541" s="167">
        <f t="shared" si="185"/>
        <v>13290</v>
      </c>
      <c r="R541" s="982">
        <f t="shared" si="202"/>
        <v>100</v>
      </c>
    </row>
    <row r="542" spans="2:18" ht="15" x14ac:dyDescent="0.25">
      <c r="B542" s="172">
        <f t="shared" si="181"/>
        <v>537</v>
      </c>
      <c r="C542" s="142"/>
      <c r="D542" s="263" t="s">
        <v>173</v>
      </c>
      <c r="E542" s="176" t="s">
        <v>405</v>
      </c>
      <c r="F542" s="147" t="s">
        <v>406</v>
      </c>
      <c r="G542" s="238"/>
      <c r="H542" s="427">
        <f>SUM(H543:H545)</f>
        <v>41338</v>
      </c>
      <c r="I542" s="427">
        <f>I543+I544+I545+I550</f>
        <v>41622</v>
      </c>
      <c r="J542" s="965">
        <f t="shared" si="201"/>
        <v>100.68701920750883</v>
      </c>
      <c r="K542" s="335"/>
      <c r="L542" s="432">
        <f>L551</f>
        <v>13290</v>
      </c>
      <c r="M542" s="432">
        <f t="shared" ref="M542" si="205">M551</f>
        <v>13290</v>
      </c>
      <c r="N542" s="1035">
        <f t="shared" si="203"/>
        <v>100</v>
      </c>
      <c r="O542" s="335"/>
      <c r="P542" s="331">
        <f t="shared" si="204"/>
        <v>54628</v>
      </c>
      <c r="Q542" s="331">
        <f t="shared" si="185"/>
        <v>54912</v>
      </c>
      <c r="R542" s="982">
        <f t="shared" si="202"/>
        <v>100.51987991506188</v>
      </c>
    </row>
    <row r="543" spans="2:18" ht="12" customHeight="1" x14ac:dyDescent="0.2">
      <c r="B543" s="172">
        <f t="shared" si="181"/>
        <v>538</v>
      </c>
      <c r="C543" s="142"/>
      <c r="D543" s="143"/>
      <c r="E543" s="127"/>
      <c r="F543" s="143" t="s">
        <v>211</v>
      </c>
      <c r="G543" s="201" t="s">
        <v>506</v>
      </c>
      <c r="H543" s="387">
        <f>24090+1205+1295</f>
        <v>26590</v>
      </c>
      <c r="I543" s="387">
        <v>26143</v>
      </c>
      <c r="J543" s="965">
        <f t="shared" si="201"/>
        <v>98.31891688604739</v>
      </c>
      <c r="K543" s="145"/>
      <c r="L543" s="394"/>
      <c r="M543" s="394"/>
      <c r="N543" s="1035"/>
      <c r="O543" s="145"/>
      <c r="P543" s="167">
        <f t="shared" si="204"/>
        <v>26590</v>
      </c>
      <c r="Q543" s="167">
        <f t="shared" si="185"/>
        <v>26143</v>
      </c>
      <c r="R543" s="982">
        <f t="shared" si="202"/>
        <v>98.31891688604739</v>
      </c>
    </row>
    <row r="544" spans="2:18" ht="12" customHeight="1" x14ac:dyDescent="0.2">
      <c r="B544" s="172">
        <f t="shared" si="181"/>
        <v>539</v>
      </c>
      <c r="C544" s="142"/>
      <c r="D544" s="143"/>
      <c r="E544" s="127"/>
      <c r="F544" s="143" t="s">
        <v>212</v>
      </c>
      <c r="G544" s="201" t="s">
        <v>259</v>
      </c>
      <c r="H544" s="387">
        <f>9019+451+363</f>
        <v>9833</v>
      </c>
      <c r="I544" s="387">
        <v>10221</v>
      </c>
      <c r="J544" s="965">
        <f t="shared" si="201"/>
        <v>103.94589647106682</v>
      </c>
      <c r="K544" s="145"/>
      <c r="L544" s="394"/>
      <c r="M544" s="394"/>
      <c r="N544" s="1035"/>
      <c r="O544" s="145"/>
      <c r="P544" s="167">
        <f t="shared" si="204"/>
        <v>9833</v>
      </c>
      <c r="Q544" s="167">
        <f t="shared" si="185"/>
        <v>10221</v>
      </c>
      <c r="R544" s="982">
        <f t="shared" si="202"/>
        <v>103.94589647106682</v>
      </c>
    </row>
    <row r="545" spans="2:18" ht="12" customHeight="1" x14ac:dyDescent="0.2">
      <c r="B545" s="172">
        <f t="shared" si="181"/>
        <v>540</v>
      </c>
      <c r="C545" s="142"/>
      <c r="D545" s="143"/>
      <c r="E545" s="127"/>
      <c r="F545" s="143" t="s">
        <v>218</v>
      </c>
      <c r="G545" s="201" t="s">
        <v>341</v>
      </c>
      <c r="H545" s="387">
        <f>SUM(H546:H549)</f>
        <v>4915</v>
      </c>
      <c r="I545" s="387">
        <f t="shared" ref="I545" si="206">SUM(I546:I549)</f>
        <v>5198</v>
      </c>
      <c r="J545" s="965">
        <f t="shared" si="201"/>
        <v>105.75788402848423</v>
      </c>
      <c r="K545" s="145"/>
      <c r="L545" s="394"/>
      <c r="M545" s="394"/>
      <c r="N545" s="1035"/>
      <c r="O545" s="145"/>
      <c r="P545" s="167">
        <f t="shared" si="204"/>
        <v>4915</v>
      </c>
      <c r="Q545" s="167">
        <f t="shared" si="185"/>
        <v>5198</v>
      </c>
      <c r="R545" s="982">
        <f t="shared" si="202"/>
        <v>105.75788402848423</v>
      </c>
    </row>
    <row r="546" spans="2:18" ht="12" customHeight="1" x14ac:dyDescent="0.2">
      <c r="B546" s="172">
        <f t="shared" si="181"/>
        <v>541</v>
      </c>
      <c r="C546" s="142"/>
      <c r="D546" s="143"/>
      <c r="E546" s="127"/>
      <c r="F546" s="127" t="s">
        <v>199</v>
      </c>
      <c r="G546" s="193" t="s">
        <v>319</v>
      </c>
      <c r="H546" s="570">
        <v>825</v>
      </c>
      <c r="I546" s="570">
        <v>592</v>
      </c>
      <c r="J546" s="966">
        <f t="shared" si="201"/>
        <v>71.757575757575751</v>
      </c>
      <c r="K546" s="145"/>
      <c r="L546" s="394"/>
      <c r="M546" s="394"/>
      <c r="N546" s="1035"/>
      <c r="O546" s="145"/>
      <c r="P546" s="168">
        <f t="shared" ref="P546:P555" si="207">H546+L546</f>
        <v>825</v>
      </c>
      <c r="Q546" s="168">
        <f t="shared" si="185"/>
        <v>592</v>
      </c>
      <c r="R546" s="983">
        <f t="shared" si="202"/>
        <v>71.757575757575751</v>
      </c>
    </row>
    <row r="547" spans="2:18" ht="12" customHeight="1" x14ac:dyDescent="0.2">
      <c r="B547" s="172">
        <f t="shared" si="181"/>
        <v>542</v>
      </c>
      <c r="C547" s="142"/>
      <c r="D547" s="143"/>
      <c r="E547" s="127"/>
      <c r="F547" s="127" t="s">
        <v>200</v>
      </c>
      <c r="G547" s="193" t="s">
        <v>247</v>
      </c>
      <c r="H547" s="570">
        <f>1300+400</f>
        <v>1700</v>
      </c>
      <c r="I547" s="570">
        <v>2036</v>
      </c>
      <c r="J547" s="966">
        <f t="shared" si="201"/>
        <v>119.76470588235296</v>
      </c>
      <c r="K547" s="145"/>
      <c r="L547" s="394"/>
      <c r="M547" s="394"/>
      <c r="N547" s="1035"/>
      <c r="O547" s="145"/>
      <c r="P547" s="168">
        <f t="shared" si="207"/>
        <v>1700</v>
      </c>
      <c r="Q547" s="168">
        <f t="shared" si="185"/>
        <v>2036</v>
      </c>
      <c r="R547" s="983">
        <f t="shared" si="202"/>
        <v>119.76470588235296</v>
      </c>
    </row>
    <row r="548" spans="2:18" ht="12" customHeight="1" x14ac:dyDescent="0.2">
      <c r="B548" s="172">
        <f t="shared" si="181"/>
        <v>543</v>
      </c>
      <c r="C548" s="142"/>
      <c r="D548" s="143"/>
      <c r="E548" s="127"/>
      <c r="F548" s="127" t="s">
        <v>214</v>
      </c>
      <c r="G548" s="193" t="s">
        <v>261</v>
      </c>
      <c r="H548" s="570">
        <v>100</v>
      </c>
      <c r="I548" s="570">
        <v>82</v>
      </c>
      <c r="J548" s="966">
        <f t="shared" si="201"/>
        <v>82</v>
      </c>
      <c r="K548" s="145"/>
      <c r="L548" s="394"/>
      <c r="M548" s="394"/>
      <c r="N548" s="1035"/>
      <c r="O548" s="145"/>
      <c r="P548" s="168">
        <f t="shared" si="207"/>
        <v>100</v>
      </c>
      <c r="Q548" s="168">
        <f t="shared" si="185"/>
        <v>82</v>
      </c>
      <c r="R548" s="983">
        <f t="shared" si="202"/>
        <v>82</v>
      </c>
    </row>
    <row r="549" spans="2:18" x14ac:dyDescent="0.2">
      <c r="B549" s="172">
        <f t="shared" si="181"/>
        <v>544</v>
      </c>
      <c r="C549" s="142"/>
      <c r="D549" s="143"/>
      <c r="E549" s="127"/>
      <c r="F549" s="127" t="s">
        <v>216</v>
      </c>
      <c r="G549" s="193" t="s">
        <v>248</v>
      </c>
      <c r="H549" s="570">
        <f>1940+350</f>
        <v>2290</v>
      </c>
      <c r="I549" s="570">
        <v>2488</v>
      </c>
      <c r="J549" s="966">
        <f t="shared" si="201"/>
        <v>108.64628820960698</v>
      </c>
      <c r="K549" s="145"/>
      <c r="L549" s="394"/>
      <c r="M549" s="394"/>
      <c r="N549" s="1035"/>
      <c r="O549" s="145"/>
      <c r="P549" s="168">
        <f t="shared" si="207"/>
        <v>2290</v>
      </c>
      <c r="Q549" s="168">
        <f t="shared" si="185"/>
        <v>2488</v>
      </c>
      <c r="R549" s="983">
        <f t="shared" si="202"/>
        <v>108.64628820960698</v>
      </c>
    </row>
    <row r="550" spans="2:18" x14ac:dyDescent="0.2">
      <c r="B550" s="172">
        <f t="shared" si="181"/>
        <v>545</v>
      </c>
      <c r="C550" s="142"/>
      <c r="D550" s="143"/>
      <c r="E550" s="170"/>
      <c r="F550" s="143" t="s">
        <v>217</v>
      </c>
      <c r="G550" s="201" t="s">
        <v>372</v>
      </c>
      <c r="H550" s="387">
        <v>0</v>
      </c>
      <c r="I550" s="387">
        <v>60</v>
      </c>
      <c r="J550" s="965">
        <v>0</v>
      </c>
      <c r="K550" s="145"/>
      <c r="L550" s="394"/>
      <c r="M550" s="394"/>
      <c r="N550" s="1035"/>
      <c r="O550" s="145"/>
      <c r="P550" s="167">
        <v>0</v>
      </c>
      <c r="Q550" s="167">
        <f t="shared" si="185"/>
        <v>60</v>
      </c>
      <c r="R550" s="982">
        <v>0</v>
      </c>
    </row>
    <row r="551" spans="2:18" x14ac:dyDescent="0.2">
      <c r="B551" s="172">
        <f t="shared" si="181"/>
        <v>546</v>
      </c>
      <c r="C551" s="142"/>
      <c r="D551" s="143"/>
      <c r="E551" s="170"/>
      <c r="F551" s="452" t="s">
        <v>607</v>
      </c>
      <c r="G551" s="531" t="s">
        <v>727</v>
      </c>
      <c r="H551" s="570"/>
      <c r="I551" s="570"/>
      <c r="J551" s="966"/>
      <c r="K551" s="145"/>
      <c r="L551" s="394">
        <f>13900-610</f>
        <v>13290</v>
      </c>
      <c r="M551" s="394">
        <v>13290</v>
      </c>
      <c r="N551" s="1035">
        <f t="shared" si="203"/>
        <v>100</v>
      </c>
      <c r="O551" s="145"/>
      <c r="P551" s="167">
        <f t="shared" si="207"/>
        <v>13290</v>
      </c>
      <c r="Q551" s="167">
        <f t="shared" si="185"/>
        <v>13290</v>
      </c>
      <c r="R551" s="982">
        <f t="shared" si="202"/>
        <v>100</v>
      </c>
    </row>
    <row r="552" spans="2:18" ht="15" x14ac:dyDescent="0.25">
      <c r="B552" s="172">
        <f t="shared" si="181"/>
        <v>547</v>
      </c>
      <c r="C552" s="142"/>
      <c r="D552" s="263" t="s">
        <v>348</v>
      </c>
      <c r="E552" s="176" t="s">
        <v>405</v>
      </c>
      <c r="F552" s="147" t="s">
        <v>407</v>
      </c>
      <c r="G552" s="238"/>
      <c r="H552" s="427">
        <f>SUM(H553:H555)</f>
        <v>36288</v>
      </c>
      <c r="I552" s="427">
        <f>I553+I554+I555+I559</f>
        <v>36506</v>
      </c>
      <c r="J552" s="965">
        <f t="shared" si="201"/>
        <v>100.60074955908289</v>
      </c>
      <c r="K552" s="335"/>
      <c r="L552" s="432">
        <f>L560</f>
        <v>5772</v>
      </c>
      <c r="M552" s="432">
        <f t="shared" ref="M552" si="208">M560</f>
        <v>5772</v>
      </c>
      <c r="N552" s="1035">
        <f t="shared" si="203"/>
        <v>100</v>
      </c>
      <c r="O552" s="335"/>
      <c r="P552" s="331">
        <f t="shared" si="207"/>
        <v>42060</v>
      </c>
      <c r="Q552" s="331">
        <f t="shared" si="185"/>
        <v>42278</v>
      </c>
      <c r="R552" s="982">
        <f t="shared" si="202"/>
        <v>100.51830718021873</v>
      </c>
    </row>
    <row r="553" spans="2:18" ht="12" customHeight="1" x14ac:dyDescent="0.2">
      <c r="B553" s="172">
        <f t="shared" si="181"/>
        <v>548</v>
      </c>
      <c r="C553" s="142"/>
      <c r="D553" s="143"/>
      <c r="E553" s="127"/>
      <c r="F553" s="143" t="s">
        <v>211</v>
      </c>
      <c r="G553" s="201" t="s">
        <v>506</v>
      </c>
      <c r="H553" s="387">
        <f>23655+1183-3</f>
        <v>24835</v>
      </c>
      <c r="I553" s="387">
        <v>24896</v>
      </c>
      <c r="J553" s="965">
        <f t="shared" si="201"/>
        <v>100.24562109925508</v>
      </c>
      <c r="K553" s="145"/>
      <c r="L553" s="394"/>
      <c r="M553" s="394"/>
      <c r="N553" s="1035"/>
      <c r="O553" s="145"/>
      <c r="P553" s="167">
        <f t="shared" si="207"/>
        <v>24835</v>
      </c>
      <c r="Q553" s="167">
        <f t="shared" si="185"/>
        <v>24896</v>
      </c>
      <c r="R553" s="982">
        <f t="shared" si="202"/>
        <v>100.24562109925508</v>
      </c>
    </row>
    <row r="554" spans="2:18" ht="12" customHeight="1" x14ac:dyDescent="0.2">
      <c r="B554" s="172">
        <f t="shared" si="181"/>
        <v>549</v>
      </c>
      <c r="C554" s="142"/>
      <c r="D554" s="143"/>
      <c r="E554" s="127"/>
      <c r="F554" s="143" t="s">
        <v>212</v>
      </c>
      <c r="G554" s="201" t="s">
        <v>259</v>
      </c>
      <c r="H554" s="387">
        <f>8269+413-20</f>
        <v>8662</v>
      </c>
      <c r="I554" s="387">
        <v>8536</v>
      </c>
      <c r="J554" s="965">
        <f t="shared" si="201"/>
        <v>98.545370584160693</v>
      </c>
      <c r="K554" s="145"/>
      <c r="L554" s="394"/>
      <c r="M554" s="394"/>
      <c r="N554" s="1035"/>
      <c r="O554" s="145"/>
      <c r="P554" s="167">
        <f t="shared" si="207"/>
        <v>8662</v>
      </c>
      <c r="Q554" s="167">
        <f t="shared" si="185"/>
        <v>8536</v>
      </c>
      <c r="R554" s="982">
        <f t="shared" si="202"/>
        <v>98.545370584160693</v>
      </c>
    </row>
    <row r="555" spans="2:18" ht="12" customHeight="1" x14ac:dyDescent="0.2">
      <c r="B555" s="172">
        <f t="shared" si="181"/>
        <v>550</v>
      </c>
      <c r="C555" s="142"/>
      <c r="D555" s="143"/>
      <c r="E555" s="127"/>
      <c r="F555" s="143" t="s">
        <v>218</v>
      </c>
      <c r="G555" s="201" t="s">
        <v>341</v>
      </c>
      <c r="H555" s="387">
        <f>SUM(H556:H558)</f>
        <v>2791</v>
      </c>
      <c r="I555" s="387">
        <f t="shared" ref="I555" si="209">SUM(I556:I558)</f>
        <v>3009</v>
      </c>
      <c r="J555" s="965">
        <f t="shared" si="201"/>
        <v>107.81082049444643</v>
      </c>
      <c r="K555" s="145"/>
      <c r="L555" s="394"/>
      <c r="M555" s="394"/>
      <c r="N555" s="1035"/>
      <c r="O555" s="145"/>
      <c r="P555" s="167">
        <f t="shared" si="207"/>
        <v>2791</v>
      </c>
      <c r="Q555" s="167">
        <f t="shared" si="185"/>
        <v>3009</v>
      </c>
      <c r="R555" s="982">
        <f t="shared" si="202"/>
        <v>107.81082049444643</v>
      </c>
    </row>
    <row r="556" spans="2:18" ht="12" customHeight="1" x14ac:dyDescent="0.2">
      <c r="B556" s="172">
        <f t="shared" si="181"/>
        <v>551</v>
      </c>
      <c r="C556" s="142"/>
      <c r="D556" s="143"/>
      <c r="E556" s="127"/>
      <c r="F556" s="127" t="s">
        <v>200</v>
      </c>
      <c r="G556" s="193" t="s">
        <v>247</v>
      </c>
      <c r="H556" s="570">
        <v>1650</v>
      </c>
      <c r="I556" s="570">
        <v>1854</v>
      </c>
      <c r="J556" s="966">
        <f t="shared" si="201"/>
        <v>112.36363636363636</v>
      </c>
      <c r="K556" s="145"/>
      <c r="L556" s="394"/>
      <c r="M556" s="394"/>
      <c r="N556" s="1035"/>
      <c r="O556" s="145"/>
      <c r="P556" s="168">
        <f>H556+L556</f>
        <v>1650</v>
      </c>
      <c r="Q556" s="168">
        <f t="shared" si="185"/>
        <v>1854</v>
      </c>
      <c r="R556" s="983">
        <f t="shared" si="202"/>
        <v>112.36363636363636</v>
      </c>
    </row>
    <row r="557" spans="2:18" ht="12" customHeight="1" x14ac:dyDescent="0.2">
      <c r="B557" s="172">
        <f t="shared" si="181"/>
        <v>552</v>
      </c>
      <c r="C557" s="142"/>
      <c r="D557" s="143"/>
      <c r="E557" s="127"/>
      <c r="F557" s="127" t="s">
        <v>214</v>
      </c>
      <c r="G557" s="193" t="s">
        <v>261</v>
      </c>
      <c r="H557" s="570">
        <v>100</v>
      </c>
      <c r="I557" s="570">
        <v>87</v>
      </c>
      <c r="J557" s="966">
        <f t="shared" si="201"/>
        <v>87</v>
      </c>
      <c r="K557" s="145"/>
      <c r="L557" s="144"/>
      <c r="M557" s="144"/>
      <c r="N557" s="1040"/>
      <c r="O557" s="145"/>
      <c r="P557" s="168">
        <f>H557+L557</f>
        <v>100</v>
      </c>
      <c r="Q557" s="168">
        <f t="shared" si="185"/>
        <v>87</v>
      </c>
      <c r="R557" s="983">
        <f t="shared" si="202"/>
        <v>87</v>
      </c>
    </row>
    <row r="558" spans="2:18" x14ac:dyDescent="0.2">
      <c r="B558" s="172">
        <f t="shared" ref="B558:B584" si="210">B557+1</f>
        <v>553</v>
      </c>
      <c r="C558" s="142"/>
      <c r="D558" s="143"/>
      <c r="E558" s="127"/>
      <c r="F558" s="127" t="s">
        <v>216</v>
      </c>
      <c r="G558" s="193" t="s">
        <v>248</v>
      </c>
      <c r="H558" s="570">
        <f>900+141</f>
        <v>1041</v>
      </c>
      <c r="I558" s="570">
        <v>1068</v>
      </c>
      <c r="J558" s="966">
        <f t="shared" si="201"/>
        <v>102.59365994236312</v>
      </c>
      <c r="K558" s="285"/>
      <c r="L558" s="144"/>
      <c r="M558" s="144"/>
      <c r="N558" s="1040"/>
      <c r="O558" s="285"/>
      <c r="P558" s="169">
        <f>H558+L558</f>
        <v>1041</v>
      </c>
      <c r="Q558" s="169">
        <f t="shared" ref="Q558:Q575" si="211">I558+M558</f>
        <v>1068</v>
      </c>
      <c r="R558" s="986">
        <f t="shared" si="202"/>
        <v>102.59365994236312</v>
      </c>
    </row>
    <row r="559" spans="2:18" x14ac:dyDescent="0.2">
      <c r="B559" s="172">
        <f t="shared" si="210"/>
        <v>554</v>
      </c>
      <c r="C559" s="142"/>
      <c r="D559" s="143"/>
      <c r="E559" s="170"/>
      <c r="F559" s="143" t="s">
        <v>217</v>
      </c>
      <c r="G559" s="201" t="s">
        <v>372</v>
      </c>
      <c r="H559" s="387">
        <v>0</v>
      </c>
      <c r="I559" s="387">
        <v>65</v>
      </c>
      <c r="J559" s="965">
        <v>0</v>
      </c>
      <c r="K559" s="145"/>
      <c r="L559" s="144"/>
      <c r="M559" s="144"/>
      <c r="N559" s="1040"/>
      <c r="O559" s="145"/>
      <c r="P559" s="167">
        <v>0</v>
      </c>
      <c r="Q559" s="167">
        <f t="shared" si="211"/>
        <v>65</v>
      </c>
      <c r="R559" s="982">
        <v>0</v>
      </c>
    </row>
    <row r="560" spans="2:18" x14ac:dyDescent="0.2">
      <c r="B560" s="172">
        <f t="shared" si="210"/>
        <v>555</v>
      </c>
      <c r="C560" s="126"/>
      <c r="D560" s="127"/>
      <c r="E560" s="170"/>
      <c r="F560" s="452" t="s">
        <v>607</v>
      </c>
      <c r="G560" s="531" t="s">
        <v>656</v>
      </c>
      <c r="H560" s="399"/>
      <c r="I560" s="399"/>
      <c r="J560" s="966"/>
      <c r="K560" s="338"/>
      <c r="L560" s="439">
        <f>4430+1810-468</f>
        <v>5772</v>
      </c>
      <c r="M560" s="439">
        <v>5772</v>
      </c>
      <c r="N560" s="1040">
        <f t="shared" si="203"/>
        <v>100</v>
      </c>
      <c r="O560" s="338"/>
      <c r="P560" s="167">
        <f t="shared" ref="P560:P626" si="212">H560+L560</f>
        <v>5772</v>
      </c>
      <c r="Q560" s="167">
        <f t="shared" si="211"/>
        <v>5772</v>
      </c>
      <c r="R560" s="982">
        <f t="shared" si="202"/>
        <v>100</v>
      </c>
    </row>
    <row r="561" spans="2:18" ht="15" x14ac:dyDescent="0.25">
      <c r="B561" s="172">
        <f t="shared" si="210"/>
        <v>556</v>
      </c>
      <c r="C561" s="142"/>
      <c r="D561" s="263" t="s">
        <v>350</v>
      </c>
      <c r="E561" s="270" t="s">
        <v>405</v>
      </c>
      <c r="F561" s="267" t="s">
        <v>408</v>
      </c>
      <c r="G561" s="268"/>
      <c r="H561" s="429">
        <f>SUM(H562:H564)</f>
        <v>19353</v>
      </c>
      <c r="I561" s="429">
        <f>I562+I563+I564+I568</f>
        <v>19958</v>
      </c>
      <c r="J561" s="995">
        <f t="shared" si="201"/>
        <v>103.12613031571331</v>
      </c>
      <c r="K561" s="335"/>
      <c r="L561" s="529">
        <f>L569</f>
        <v>5693</v>
      </c>
      <c r="M561" s="529">
        <f t="shared" ref="M561" si="213">M569</f>
        <v>5693</v>
      </c>
      <c r="N561" s="1040">
        <f t="shared" si="203"/>
        <v>100</v>
      </c>
      <c r="O561" s="335"/>
      <c r="P561" s="344">
        <f t="shared" si="212"/>
        <v>25046</v>
      </c>
      <c r="Q561" s="344">
        <f t="shared" si="211"/>
        <v>25651</v>
      </c>
      <c r="R561" s="1001">
        <f t="shared" si="202"/>
        <v>102.4155553781043</v>
      </c>
    </row>
    <row r="562" spans="2:18" ht="12" customHeight="1" x14ac:dyDescent="0.2">
      <c r="B562" s="172">
        <f t="shared" si="210"/>
        <v>557</v>
      </c>
      <c r="C562" s="142"/>
      <c r="D562" s="143"/>
      <c r="E562" s="127"/>
      <c r="F562" s="143" t="s">
        <v>211</v>
      </c>
      <c r="G562" s="201" t="s">
        <v>506</v>
      </c>
      <c r="H562" s="387">
        <f>11220+561+599+70</f>
        <v>12450</v>
      </c>
      <c r="I562" s="387">
        <v>12437</v>
      </c>
      <c r="J562" s="965">
        <f t="shared" si="201"/>
        <v>99.895582329317264</v>
      </c>
      <c r="K562" s="145"/>
      <c r="L562" s="144"/>
      <c r="M562" s="144"/>
      <c r="N562" s="1040"/>
      <c r="O562" s="145"/>
      <c r="P562" s="167">
        <f t="shared" si="212"/>
        <v>12450</v>
      </c>
      <c r="Q562" s="167">
        <f t="shared" si="211"/>
        <v>12437</v>
      </c>
      <c r="R562" s="982">
        <f t="shared" si="202"/>
        <v>99.895582329317264</v>
      </c>
    </row>
    <row r="563" spans="2:18" ht="12" customHeight="1" x14ac:dyDescent="0.2">
      <c r="B563" s="172">
        <f t="shared" si="210"/>
        <v>558</v>
      </c>
      <c r="C563" s="142"/>
      <c r="D563" s="143"/>
      <c r="E563" s="127"/>
      <c r="F563" s="143" t="s">
        <v>212</v>
      </c>
      <c r="G563" s="201" t="s">
        <v>259</v>
      </c>
      <c r="H563" s="387">
        <f>4071+204+211+288</f>
        <v>4774</v>
      </c>
      <c r="I563" s="387">
        <v>4753</v>
      </c>
      <c r="J563" s="965">
        <f t="shared" si="201"/>
        <v>99.560117302052788</v>
      </c>
      <c r="K563" s="145"/>
      <c r="L563" s="394"/>
      <c r="M563" s="394"/>
      <c r="N563" s="1035"/>
      <c r="O563" s="145"/>
      <c r="P563" s="167">
        <f t="shared" si="212"/>
        <v>4774</v>
      </c>
      <c r="Q563" s="167">
        <f t="shared" si="211"/>
        <v>4753</v>
      </c>
      <c r="R563" s="982">
        <f t="shared" si="202"/>
        <v>99.560117302052788</v>
      </c>
    </row>
    <row r="564" spans="2:18" ht="12" customHeight="1" x14ac:dyDescent="0.2">
      <c r="B564" s="172">
        <f t="shared" si="210"/>
        <v>559</v>
      </c>
      <c r="C564" s="142"/>
      <c r="D564" s="143"/>
      <c r="E564" s="127"/>
      <c r="F564" s="143" t="s">
        <v>218</v>
      </c>
      <c r="G564" s="201" t="s">
        <v>341</v>
      </c>
      <c r="H564" s="387">
        <f>SUM(H565:H567)</f>
        <v>2129</v>
      </c>
      <c r="I564" s="387">
        <f t="shared" ref="I564" si="214">SUM(I565:I567)</f>
        <v>2734</v>
      </c>
      <c r="J564" s="965">
        <f t="shared" si="201"/>
        <v>128.41709722874589</v>
      </c>
      <c r="K564" s="145"/>
      <c r="L564" s="394"/>
      <c r="M564" s="394"/>
      <c r="N564" s="1035"/>
      <c r="O564" s="145"/>
      <c r="P564" s="167">
        <f t="shared" si="212"/>
        <v>2129</v>
      </c>
      <c r="Q564" s="167">
        <f t="shared" si="211"/>
        <v>2734</v>
      </c>
      <c r="R564" s="982">
        <f t="shared" si="202"/>
        <v>128.41709722874589</v>
      </c>
    </row>
    <row r="565" spans="2:18" ht="12" customHeight="1" x14ac:dyDescent="0.2">
      <c r="B565" s="172">
        <f t="shared" si="210"/>
        <v>560</v>
      </c>
      <c r="C565" s="142"/>
      <c r="D565" s="143"/>
      <c r="E565" s="127"/>
      <c r="F565" s="127" t="s">
        <v>200</v>
      </c>
      <c r="G565" s="193" t="s">
        <v>247</v>
      </c>
      <c r="H565" s="570">
        <f>1070+550-341</f>
        <v>1279</v>
      </c>
      <c r="I565" s="570">
        <v>1973</v>
      </c>
      <c r="J565" s="966">
        <f t="shared" si="201"/>
        <v>154.26114151681</v>
      </c>
      <c r="K565" s="145"/>
      <c r="L565" s="394"/>
      <c r="M565" s="394"/>
      <c r="N565" s="1035"/>
      <c r="O565" s="145"/>
      <c r="P565" s="168">
        <f t="shared" si="212"/>
        <v>1279</v>
      </c>
      <c r="Q565" s="168">
        <f t="shared" si="211"/>
        <v>1973</v>
      </c>
      <c r="R565" s="983">
        <f t="shared" si="202"/>
        <v>154.26114151681</v>
      </c>
    </row>
    <row r="566" spans="2:18" ht="12" customHeight="1" x14ac:dyDescent="0.2">
      <c r="B566" s="172">
        <f t="shared" si="210"/>
        <v>561</v>
      </c>
      <c r="C566" s="142"/>
      <c r="D566" s="143"/>
      <c r="E566" s="127"/>
      <c r="F566" s="127" t="s">
        <v>214</v>
      </c>
      <c r="G566" s="193" t="s">
        <v>261</v>
      </c>
      <c r="H566" s="570">
        <v>100</v>
      </c>
      <c r="I566" s="570">
        <v>45</v>
      </c>
      <c r="J566" s="966">
        <f t="shared" si="201"/>
        <v>45</v>
      </c>
      <c r="K566" s="145"/>
      <c r="L566" s="394"/>
      <c r="M566" s="394"/>
      <c r="N566" s="1035"/>
      <c r="O566" s="145"/>
      <c r="P566" s="168">
        <f t="shared" si="212"/>
        <v>100</v>
      </c>
      <c r="Q566" s="168">
        <f t="shared" si="211"/>
        <v>45</v>
      </c>
      <c r="R566" s="983">
        <f t="shared" si="202"/>
        <v>45</v>
      </c>
    </row>
    <row r="567" spans="2:18" x14ac:dyDescent="0.2">
      <c r="B567" s="172">
        <f t="shared" si="210"/>
        <v>562</v>
      </c>
      <c r="C567" s="142"/>
      <c r="D567" s="143"/>
      <c r="E567" s="127"/>
      <c r="F567" s="127" t="s">
        <v>216</v>
      </c>
      <c r="G567" s="193" t="s">
        <v>248</v>
      </c>
      <c r="H567" s="570">
        <v>750</v>
      </c>
      <c r="I567" s="570">
        <v>716</v>
      </c>
      <c r="J567" s="966">
        <f t="shared" si="201"/>
        <v>95.466666666666669</v>
      </c>
      <c r="K567" s="145"/>
      <c r="L567" s="394"/>
      <c r="M567" s="394"/>
      <c r="N567" s="1035"/>
      <c r="O567" s="145"/>
      <c r="P567" s="168">
        <f t="shared" si="212"/>
        <v>750</v>
      </c>
      <c r="Q567" s="168">
        <f t="shared" si="211"/>
        <v>716</v>
      </c>
      <c r="R567" s="983">
        <f t="shared" si="202"/>
        <v>95.466666666666669</v>
      </c>
    </row>
    <row r="568" spans="2:18" x14ac:dyDescent="0.2">
      <c r="B568" s="172">
        <f t="shared" si="210"/>
        <v>563</v>
      </c>
      <c r="C568" s="142"/>
      <c r="D568" s="143"/>
      <c r="E568" s="170"/>
      <c r="F568" s="143" t="s">
        <v>217</v>
      </c>
      <c r="G568" s="201" t="s">
        <v>372</v>
      </c>
      <c r="H568" s="387">
        <v>0</v>
      </c>
      <c r="I568" s="387">
        <v>34</v>
      </c>
      <c r="J568" s="965">
        <v>0</v>
      </c>
      <c r="K568" s="145"/>
      <c r="L568" s="394"/>
      <c r="M568" s="394"/>
      <c r="N568" s="1035"/>
      <c r="O568" s="145"/>
      <c r="P568" s="167">
        <v>0</v>
      </c>
      <c r="Q568" s="167">
        <f t="shared" si="211"/>
        <v>34</v>
      </c>
      <c r="R568" s="982">
        <v>0</v>
      </c>
    </row>
    <row r="569" spans="2:18" x14ac:dyDescent="0.2">
      <c r="B569" s="172">
        <f t="shared" si="210"/>
        <v>564</v>
      </c>
      <c r="C569" s="126"/>
      <c r="D569" s="127"/>
      <c r="E569" s="170"/>
      <c r="F569" s="452" t="s">
        <v>607</v>
      </c>
      <c r="G569" s="531" t="s">
        <v>657</v>
      </c>
      <c r="H569" s="399"/>
      <c r="I569" s="399"/>
      <c r="J569" s="966"/>
      <c r="K569" s="338"/>
      <c r="L569" s="400">
        <f>5200+1130-637</f>
        <v>5693</v>
      </c>
      <c r="M569" s="400">
        <v>5693</v>
      </c>
      <c r="N569" s="1035">
        <f t="shared" si="203"/>
        <v>100</v>
      </c>
      <c r="O569" s="338"/>
      <c r="P569" s="167">
        <f t="shared" si="212"/>
        <v>5693</v>
      </c>
      <c r="Q569" s="167">
        <f t="shared" si="211"/>
        <v>5693</v>
      </c>
      <c r="R569" s="982">
        <f t="shared" si="202"/>
        <v>100</v>
      </c>
    </row>
    <row r="570" spans="2:18" ht="15" x14ac:dyDescent="0.25">
      <c r="B570" s="172">
        <f t="shared" si="210"/>
        <v>565</v>
      </c>
      <c r="C570" s="142"/>
      <c r="D570" s="263" t="s">
        <v>352</v>
      </c>
      <c r="E570" s="176" t="s">
        <v>405</v>
      </c>
      <c r="F570" s="147" t="s">
        <v>409</v>
      </c>
      <c r="G570" s="238"/>
      <c r="H570" s="427">
        <f>SUM(H571:H573)</f>
        <v>20882</v>
      </c>
      <c r="I570" s="427">
        <f>I571+I572+I573+I577</f>
        <v>21130</v>
      </c>
      <c r="J570" s="965">
        <f t="shared" si="201"/>
        <v>101.18762570634996</v>
      </c>
      <c r="K570" s="335"/>
      <c r="L570" s="432">
        <f>L578</f>
        <v>1855</v>
      </c>
      <c r="M570" s="432">
        <f t="shared" ref="M570" si="215">M578</f>
        <v>1855</v>
      </c>
      <c r="N570" s="1035">
        <f t="shared" si="203"/>
        <v>100</v>
      </c>
      <c r="O570" s="335"/>
      <c r="P570" s="331">
        <f t="shared" si="212"/>
        <v>22737</v>
      </c>
      <c r="Q570" s="331">
        <f t="shared" si="211"/>
        <v>22985</v>
      </c>
      <c r="R570" s="982">
        <f t="shared" si="202"/>
        <v>101.09073316620487</v>
      </c>
    </row>
    <row r="571" spans="2:18" ht="12" customHeight="1" x14ac:dyDescent="0.2">
      <c r="B571" s="172">
        <f t="shared" si="210"/>
        <v>566</v>
      </c>
      <c r="C571" s="142"/>
      <c r="D571" s="143"/>
      <c r="E571" s="127"/>
      <c r="F571" s="143" t="s">
        <v>211</v>
      </c>
      <c r="G571" s="201" t="s">
        <v>506</v>
      </c>
      <c r="H571" s="387">
        <f>12965+648+1209-810</f>
        <v>14012</v>
      </c>
      <c r="I571" s="387">
        <v>13708</v>
      </c>
      <c r="J571" s="965">
        <f t="shared" si="201"/>
        <v>97.830431059092206</v>
      </c>
      <c r="K571" s="145"/>
      <c r="L571" s="394"/>
      <c r="M571" s="394"/>
      <c r="N571" s="1035"/>
      <c r="O571" s="145"/>
      <c r="P571" s="167">
        <f t="shared" si="212"/>
        <v>14012</v>
      </c>
      <c r="Q571" s="167">
        <f t="shared" si="211"/>
        <v>13708</v>
      </c>
      <c r="R571" s="982">
        <f t="shared" si="202"/>
        <v>97.830431059092206</v>
      </c>
    </row>
    <row r="572" spans="2:18" ht="12" customHeight="1" x14ac:dyDescent="0.2">
      <c r="B572" s="172">
        <f t="shared" si="210"/>
        <v>567</v>
      </c>
      <c r="C572" s="142"/>
      <c r="D572" s="143"/>
      <c r="E572" s="127"/>
      <c r="F572" s="143" t="s">
        <v>212</v>
      </c>
      <c r="G572" s="201" t="s">
        <v>259</v>
      </c>
      <c r="H572" s="387">
        <f>4679+234+464-514</f>
        <v>4863</v>
      </c>
      <c r="I572" s="387">
        <v>4915</v>
      </c>
      <c r="J572" s="965">
        <f t="shared" si="201"/>
        <v>101.06929878675714</v>
      </c>
      <c r="K572" s="145"/>
      <c r="L572" s="394"/>
      <c r="M572" s="394"/>
      <c r="N572" s="1035"/>
      <c r="O572" s="145"/>
      <c r="P572" s="167">
        <f t="shared" si="212"/>
        <v>4863</v>
      </c>
      <c r="Q572" s="167">
        <f t="shared" si="211"/>
        <v>4915</v>
      </c>
      <c r="R572" s="982">
        <f t="shared" si="202"/>
        <v>101.06929878675714</v>
      </c>
    </row>
    <row r="573" spans="2:18" ht="12" customHeight="1" x14ac:dyDescent="0.2">
      <c r="B573" s="172">
        <f t="shared" si="210"/>
        <v>568</v>
      </c>
      <c r="C573" s="142"/>
      <c r="D573" s="143"/>
      <c r="E573" s="127"/>
      <c r="F573" s="143" t="s">
        <v>218</v>
      </c>
      <c r="G573" s="201" t="s">
        <v>341</v>
      </c>
      <c r="H573" s="387">
        <f>SUM(H574:H576)</f>
        <v>2007</v>
      </c>
      <c r="I573" s="387">
        <f t="shared" ref="I573" si="216">SUM(I574:I576)</f>
        <v>2255</v>
      </c>
      <c r="J573" s="965">
        <f t="shared" si="201"/>
        <v>112.35675137020429</v>
      </c>
      <c r="K573" s="145"/>
      <c r="L573" s="394"/>
      <c r="M573" s="394"/>
      <c r="N573" s="1035"/>
      <c r="O573" s="145"/>
      <c r="P573" s="167">
        <f t="shared" si="212"/>
        <v>2007</v>
      </c>
      <c r="Q573" s="167">
        <f t="shared" si="211"/>
        <v>2255</v>
      </c>
      <c r="R573" s="982">
        <f t="shared" si="202"/>
        <v>112.35675137020429</v>
      </c>
    </row>
    <row r="574" spans="2:18" ht="12" customHeight="1" x14ac:dyDescent="0.2">
      <c r="B574" s="172">
        <f t="shared" si="210"/>
        <v>569</v>
      </c>
      <c r="C574" s="142"/>
      <c r="D574" s="143"/>
      <c r="E574" s="127"/>
      <c r="F574" s="127" t="s">
        <v>200</v>
      </c>
      <c r="G574" s="193" t="s">
        <v>247</v>
      </c>
      <c r="H574" s="570">
        <f>1470-323</f>
        <v>1147</v>
      </c>
      <c r="I574" s="570">
        <v>1341</v>
      </c>
      <c r="J574" s="966">
        <f t="shared" si="201"/>
        <v>116.91368788142982</v>
      </c>
      <c r="K574" s="145"/>
      <c r="L574" s="394"/>
      <c r="M574" s="394"/>
      <c r="N574" s="1035"/>
      <c r="O574" s="145"/>
      <c r="P574" s="168">
        <f t="shared" si="212"/>
        <v>1147</v>
      </c>
      <c r="Q574" s="168">
        <f t="shared" si="211"/>
        <v>1341</v>
      </c>
      <c r="R574" s="983">
        <f t="shared" si="202"/>
        <v>116.91368788142982</v>
      </c>
    </row>
    <row r="575" spans="2:18" ht="12" customHeight="1" x14ac:dyDescent="0.2">
      <c r="B575" s="172">
        <f t="shared" si="210"/>
        <v>570</v>
      </c>
      <c r="C575" s="142"/>
      <c r="D575" s="143"/>
      <c r="E575" s="127"/>
      <c r="F575" s="127" t="s">
        <v>214</v>
      </c>
      <c r="G575" s="193" t="s">
        <v>261</v>
      </c>
      <c r="H575" s="570">
        <v>100</v>
      </c>
      <c r="I575" s="570">
        <v>216</v>
      </c>
      <c r="J575" s="966">
        <f t="shared" si="201"/>
        <v>216</v>
      </c>
      <c r="K575" s="145"/>
      <c r="L575" s="394"/>
      <c r="M575" s="394"/>
      <c r="N575" s="1035"/>
      <c r="O575" s="145"/>
      <c r="P575" s="168">
        <f t="shared" si="212"/>
        <v>100</v>
      </c>
      <c r="Q575" s="168">
        <f t="shared" si="211"/>
        <v>216</v>
      </c>
      <c r="R575" s="983">
        <f t="shared" si="202"/>
        <v>216</v>
      </c>
    </row>
    <row r="576" spans="2:18" x14ac:dyDescent="0.2">
      <c r="B576" s="172">
        <f t="shared" si="210"/>
        <v>571</v>
      </c>
      <c r="C576" s="142"/>
      <c r="D576" s="143"/>
      <c r="E576" s="127"/>
      <c r="F576" s="127" t="s">
        <v>216</v>
      </c>
      <c r="G576" s="193" t="s">
        <v>248</v>
      </c>
      <c r="H576" s="570">
        <v>760</v>
      </c>
      <c r="I576" s="570">
        <v>698</v>
      </c>
      <c r="J576" s="966">
        <f t="shared" si="201"/>
        <v>91.84210526315789</v>
      </c>
      <c r="K576" s="145"/>
      <c r="L576" s="394"/>
      <c r="M576" s="394"/>
      <c r="N576" s="1035"/>
      <c r="O576" s="145"/>
      <c r="P576" s="168">
        <f t="shared" si="212"/>
        <v>760</v>
      </c>
      <c r="Q576" s="168">
        <f t="shared" ref="Q576:Q640" si="217">I576+M576</f>
        <v>698</v>
      </c>
      <c r="R576" s="983">
        <f t="shared" si="202"/>
        <v>91.84210526315789</v>
      </c>
    </row>
    <row r="577" spans="2:18" x14ac:dyDescent="0.2">
      <c r="B577" s="172">
        <f t="shared" si="210"/>
        <v>572</v>
      </c>
      <c r="C577" s="142"/>
      <c r="D577" s="143"/>
      <c r="E577" s="170"/>
      <c r="F577" s="143" t="s">
        <v>217</v>
      </c>
      <c r="G577" s="201" t="s">
        <v>372</v>
      </c>
      <c r="H577" s="387">
        <v>0</v>
      </c>
      <c r="I577" s="387">
        <v>252</v>
      </c>
      <c r="J577" s="965">
        <v>0</v>
      </c>
      <c r="K577" s="145"/>
      <c r="L577" s="394"/>
      <c r="M577" s="394"/>
      <c r="N577" s="1035"/>
      <c r="O577" s="145"/>
      <c r="P577" s="167">
        <v>0</v>
      </c>
      <c r="Q577" s="167">
        <f t="shared" si="217"/>
        <v>252</v>
      </c>
      <c r="R577" s="982">
        <v>0</v>
      </c>
    </row>
    <row r="578" spans="2:18" x14ac:dyDescent="0.2">
      <c r="B578" s="172">
        <f t="shared" si="210"/>
        <v>573</v>
      </c>
      <c r="C578" s="142"/>
      <c r="D578" s="143"/>
      <c r="E578" s="170"/>
      <c r="F578" s="452" t="s">
        <v>607</v>
      </c>
      <c r="G578" s="531" t="s">
        <v>663</v>
      </c>
      <c r="H578" s="570"/>
      <c r="I578" s="570"/>
      <c r="J578" s="966"/>
      <c r="K578" s="145"/>
      <c r="L578" s="394">
        <f>3220-1680+315</f>
        <v>1855</v>
      </c>
      <c r="M578" s="394">
        <v>1855</v>
      </c>
      <c r="N578" s="1035">
        <f t="shared" si="203"/>
        <v>100</v>
      </c>
      <c r="O578" s="145"/>
      <c r="P578" s="167">
        <f t="shared" si="212"/>
        <v>1855</v>
      </c>
      <c r="Q578" s="167">
        <f t="shared" si="217"/>
        <v>1855</v>
      </c>
      <c r="R578" s="982">
        <f t="shared" si="202"/>
        <v>100</v>
      </c>
    </row>
    <row r="579" spans="2:18" ht="15" x14ac:dyDescent="0.25">
      <c r="B579" s="172">
        <f t="shared" si="210"/>
        <v>574</v>
      </c>
      <c r="C579" s="142"/>
      <c r="D579" s="263" t="s">
        <v>354</v>
      </c>
      <c r="E579" s="270" t="s">
        <v>405</v>
      </c>
      <c r="F579" s="267" t="s">
        <v>410</v>
      </c>
      <c r="G579" s="268"/>
      <c r="H579" s="427">
        <f>SUM(H580:H582)</f>
        <v>29234</v>
      </c>
      <c r="I579" s="427">
        <f t="shared" ref="I579" si="218">SUM(I580:I582)</f>
        <v>29617</v>
      </c>
      <c r="J579" s="965">
        <f t="shared" si="201"/>
        <v>101.31011835533967</v>
      </c>
      <c r="K579" s="335"/>
      <c r="L579" s="432">
        <f>L586</f>
        <v>4464</v>
      </c>
      <c r="M579" s="432">
        <f t="shared" ref="M579" si="219">M586</f>
        <v>4464</v>
      </c>
      <c r="N579" s="1035">
        <f t="shared" si="203"/>
        <v>100</v>
      </c>
      <c r="O579" s="335"/>
      <c r="P579" s="331">
        <f t="shared" si="212"/>
        <v>33698</v>
      </c>
      <c r="Q579" s="331">
        <f t="shared" si="217"/>
        <v>34081</v>
      </c>
      <c r="R579" s="982">
        <f t="shared" si="202"/>
        <v>101.13656596830674</v>
      </c>
    </row>
    <row r="580" spans="2:18" ht="12" customHeight="1" x14ac:dyDescent="0.2">
      <c r="B580" s="172">
        <f t="shared" si="210"/>
        <v>575</v>
      </c>
      <c r="C580" s="142"/>
      <c r="D580" s="143"/>
      <c r="E580" s="127"/>
      <c r="F580" s="143" t="s">
        <v>211</v>
      </c>
      <c r="G580" s="201" t="s">
        <v>506</v>
      </c>
      <c r="H580" s="387">
        <f>17980+899+788</f>
        <v>19667</v>
      </c>
      <c r="I580" s="387">
        <v>19748</v>
      </c>
      <c r="J580" s="965">
        <f t="shared" si="201"/>
        <v>100.41185742614532</v>
      </c>
      <c r="K580" s="145"/>
      <c r="L580" s="144"/>
      <c r="M580" s="144"/>
      <c r="N580" s="1040"/>
      <c r="O580" s="145"/>
      <c r="P580" s="575">
        <f t="shared" si="212"/>
        <v>19667</v>
      </c>
      <c r="Q580" s="575">
        <f t="shared" si="217"/>
        <v>19748</v>
      </c>
      <c r="R580" s="1001">
        <f t="shared" si="202"/>
        <v>100.41185742614532</v>
      </c>
    </row>
    <row r="581" spans="2:18" ht="12" customHeight="1" x14ac:dyDescent="0.2">
      <c r="B581" s="172">
        <f t="shared" si="210"/>
        <v>576</v>
      </c>
      <c r="C581" s="142"/>
      <c r="D581" s="143"/>
      <c r="E581" s="127"/>
      <c r="F581" s="143" t="s">
        <v>212</v>
      </c>
      <c r="G581" s="201" t="s">
        <v>259</v>
      </c>
      <c r="H581" s="387">
        <f>6435+322+430</f>
        <v>7187</v>
      </c>
      <c r="I581" s="387">
        <v>7106</v>
      </c>
      <c r="J581" s="965">
        <f t="shared" si="201"/>
        <v>98.87296507583136</v>
      </c>
      <c r="K581" s="145"/>
      <c r="L581" s="394"/>
      <c r="M581" s="394"/>
      <c r="N581" s="1035"/>
      <c r="O581" s="145"/>
      <c r="P581" s="167">
        <f t="shared" si="212"/>
        <v>7187</v>
      </c>
      <c r="Q581" s="167">
        <f t="shared" si="217"/>
        <v>7106</v>
      </c>
      <c r="R581" s="982">
        <f t="shared" si="202"/>
        <v>98.87296507583136</v>
      </c>
    </row>
    <row r="582" spans="2:18" ht="12" customHeight="1" x14ac:dyDescent="0.2">
      <c r="B582" s="172">
        <f t="shared" si="210"/>
        <v>577</v>
      </c>
      <c r="C582" s="142"/>
      <c r="D582" s="143"/>
      <c r="E582" s="127"/>
      <c r="F582" s="143" t="s">
        <v>218</v>
      </c>
      <c r="G582" s="201" t="s">
        <v>341</v>
      </c>
      <c r="H582" s="387">
        <f>SUM(H583:H585)</f>
        <v>2380</v>
      </c>
      <c r="I582" s="387">
        <f t="shared" ref="I582" si="220">SUM(I583:I585)</f>
        <v>2763</v>
      </c>
      <c r="J582" s="965">
        <f t="shared" si="201"/>
        <v>116.09243697478992</v>
      </c>
      <c r="K582" s="145"/>
      <c r="L582" s="394"/>
      <c r="M582" s="394"/>
      <c r="N582" s="1035"/>
      <c r="O582" s="145"/>
      <c r="P582" s="167">
        <f t="shared" si="212"/>
        <v>2380</v>
      </c>
      <c r="Q582" s="167">
        <f t="shared" si="217"/>
        <v>2763</v>
      </c>
      <c r="R582" s="982">
        <f t="shared" si="202"/>
        <v>116.09243697478992</v>
      </c>
    </row>
    <row r="583" spans="2:18" ht="12" customHeight="1" x14ac:dyDescent="0.2">
      <c r="B583" s="172">
        <f t="shared" si="210"/>
        <v>578</v>
      </c>
      <c r="C583" s="142"/>
      <c r="D583" s="143"/>
      <c r="E583" s="127"/>
      <c r="F583" s="127" t="s">
        <v>200</v>
      </c>
      <c r="G583" s="193" t="s">
        <v>247</v>
      </c>
      <c r="H583" s="570">
        <f>1850-400</f>
        <v>1450</v>
      </c>
      <c r="I583" s="570">
        <v>1670</v>
      </c>
      <c r="J583" s="966">
        <f t="shared" si="201"/>
        <v>115.17241379310346</v>
      </c>
      <c r="K583" s="145"/>
      <c r="L583" s="394"/>
      <c r="M583" s="394"/>
      <c r="N583" s="1035"/>
      <c r="O583" s="145"/>
      <c r="P583" s="168">
        <f t="shared" si="212"/>
        <v>1450</v>
      </c>
      <c r="Q583" s="168">
        <f t="shared" si="217"/>
        <v>1670</v>
      </c>
      <c r="R583" s="983">
        <f t="shared" si="202"/>
        <v>115.17241379310346</v>
      </c>
    </row>
    <row r="584" spans="2:18" ht="12" customHeight="1" x14ac:dyDescent="0.2">
      <c r="B584" s="172">
        <f t="shared" si="210"/>
        <v>579</v>
      </c>
      <c r="C584" s="142"/>
      <c r="D584" s="143"/>
      <c r="E584" s="127"/>
      <c r="F584" s="127" t="s">
        <v>214</v>
      </c>
      <c r="G584" s="193" t="s">
        <v>261</v>
      </c>
      <c r="H584" s="570">
        <v>100</v>
      </c>
      <c r="I584" s="570">
        <v>238</v>
      </c>
      <c r="J584" s="966">
        <f t="shared" si="201"/>
        <v>238</v>
      </c>
      <c r="K584" s="145"/>
      <c r="L584" s="394"/>
      <c r="M584" s="394"/>
      <c r="N584" s="1035"/>
      <c r="O584" s="145"/>
      <c r="P584" s="168">
        <f t="shared" si="212"/>
        <v>100</v>
      </c>
      <c r="Q584" s="168">
        <f t="shared" si="217"/>
        <v>238</v>
      </c>
      <c r="R584" s="983">
        <f t="shared" si="202"/>
        <v>238</v>
      </c>
    </row>
    <row r="585" spans="2:18" x14ac:dyDescent="0.2">
      <c r="B585" s="172">
        <f t="shared" ref="B585:B629" si="221">B584+1</f>
        <v>580</v>
      </c>
      <c r="C585" s="142"/>
      <c r="D585" s="143"/>
      <c r="E585" s="127"/>
      <c r="F585" s="127" t="s">
        <v>216</v>
      </c>
      <c r="G585" s="193" t="s">
        <v>248</v>
      </c>
      <c r="H585" s="570">
        <v>830</v>
      </c>
      <c r="I585" s="570">
        <v>855</v>
      </c>
      <c r="J585" s="966">
        <f t="shared" si="201"/>
        <v>103.01204819277108</v>
      </c>
      <c r="K585" s="145"/>
      <c r="L585" s="394"/>
      <c r="M585" s="394"/>
      <c r="N585" s="1035"/>
      <c r="O585" s="145"/>
      <c r="P585" s="168">
        <f t="shared" si="212"/>
        <v>830</v>
      </c>
      <c r="Q585" s="168">
        <f t="shared" si="217"/>
        <v>855</v>
      </c>
      <c r="R585" s="983">
        <f t="shared" si="202"/>
        <v>103.01204819277108</v>
      </c>
    </row>
    <row r="586" spans="2:18" x14ac:dyDescent="0.2">
      <c r="B586" s="172">
        <f t="shared" si="221"/>
        <v>581</v>
      </c>
      <c r="C586" s="142"/>
      <c r="D586" s="143"/>
      <c r="E586" s="170"/>
      <c r="F586" s="452" t="s">
        <v>607</v>
      </c>
      <c r="G586" s="531" t="s">
        <v>728</v>
      </c>
      <c r="H586" s="570"/>
      <c r="I586" s="570"/>
      <c r="J586" s="966"/>
      <c r="K586" s="145"/>
      <c r="L586" s="394">
        <f>4850-386</f>
        <v>4464</v>
      </c>
      <c r="M586" s="394">
        <v>4464</v>
      </c>
      <c r="N586" s="1035">
        <f t="shared" si="203"/>
        <v>100</v>
      </c>
      <c r="O586" s="145"/>
      <c r="P586" s="167">
        <f t="shared" si="212"/>
        <v>4464</v>
      </c>
      <c r="Q586" s="167">
        <f t="shared" si="217"/>
        <v>4464</v>
      </c>
      <c r="R586" s="982">
        <f t="shared" si="202"/>
        <v>100</v>
      </c>
    </row>
    <row r="587" spans="2:18" ht="15" x14ac:dyDescent="0.25">
      <c r="B587" s="172">
        <f t="shared" si="221"/>
        <v>582</v>
      </c>
      <c r="C587" s="142"/>
      <c r="D587" s="263" t="s">
        <v>357</v>
      </c>
      <c r="E587" s="176" t="s">
        <v>405</v>
      </c>
      <c r="F587" s="147" t="s">
        <v>411</v>
      </c>
      <c r="G587" s="238"/>
      <c r="H587" s="427">
        <f>SUM(H588:H590)</f>
        <v>23895</v>
      </c>
      <c r="I587" s="427">
        <f t="shared" ref="I587" si="222">SUM(I588:I590)</f>
        <v>23432</v>
      </c>
      <c r="J587" s="965">
        <f t="shared" si="201"/>
        <v>98.062356141452184</v>
      </c>
      <c r="K587" s="335"/>
      <c r="L587" s="432">
        <f>L594</f>
        <v>2628</v>
      </c>
      <c r="M587" s="432">
        <f t="shared" ref="M587" si="223">M594</f>
        <v>2628</v>
      </c>
      <c r="N587" s="1035">
        <f t="shared" si="203"/>
        <v>100</v>
      </c>
      <c r="O587" s="335"/>
      <c r="P587" s="331">
        <f t="shared" si="212"/>
        <v>26523</v>
      </c>
      <c r="Q587" s="331">
        <f t="shared" si="217"/>
        <v>26060</v>
      </c>
      <c r="R587" s="982">
        <f t="shared" si="202"/>
        <v>98.254345285224147</v>
      </c>
    </row>
    <row r="588" spans="2:18" x14ac:dyDescent="0.2">
      <c r="B588" s="172">
        <f t="shared" si="221"/>
        <v>583</v>
      </c>
      <c r="C588" s="142"/>
      <c r="D588" s="143"/>
      <c r="E588" s="127"/>
      <c r="F588" s="143" t="s">
        <v>211</v>
      </c>
      <c r="G588" s="201" t="s">
        <v>506</v>
      </c>
      <c r="H588" s="387">
        <f>16520+826-1462</f>
        <v>15884</v>
      </c>
      <c r="I588" s="387">
        <v>15815</v>
      </c>
      <c r="J588" s="965">
        <f t="shared" si="201"/>
        <v>99.565600604381771</v>
      </c>
      <c r="K588" s="145"/>
      <c r="L588" s="394"/>
      <c r="M588" s="394"/>
      <c r="N588" s="1035"/>
      <c r="O588" s="145"/>
      <c r="P588" s="167">
        <f t="shared" si="212"/>
        <v>15884</v>
      </c>
      <c r="Q588" s="167">
        <f t="shared" si="217"/>
        <v>15815</v>
      </c>
      <c r="R588" s="982">
        <f t="shared" si="202"/>
        <v>99.565600604381771</v>
      </c>
    </row>
    <row r="589" spans="2:18" x14ac:dyDescent="0.2">
      <c r="B589" s="172">
        <f t="shared" si="221"/>
        <v>584</v>
      </c>
      <c r="C589" s="142"/>
      <c r="D589" s="143"/>
      <c r="E589" s="127"/>
      <c r="F589" s="143" t="s">
        <v>212</v>
      </c>
      <c r="G589" s="201" t="s">
        <v>259</v>
      </c>
      <c r="H589" s="387">
        <f>6036+302-497</f>
        <v>5841</v>
      </c>
      <c r="I589" s="387">
        <v>5909</v>
      </c>
      <c r="J589" s="965">
        <f t="shared" si="201"/>
        <v>101.16418421503168</v>
      </c>
      <c r="K589" s="145"/>
      <c r="L589" s="394"/>
      <c r="M589" s="394"/>
      <c r="N589" s="1035"/>
      <c r="O589" s="145"/>
      <c r="P589" s="167">
        <f t="shared" si="212"/>
        <v>5841</v>
      </c>
      <c r="Q589" s="167">
        <f t="shared" si="217"/>
        <v>5909</v>
      </c>
      <c r="R589" s="982">
        <f t="shared" si="202"/>
        <v>101.16418421503168</v>
      </c>
    </row>
    <row r="590" spans="2:18" x14ac:dyDescent="0.2">
      <c r="B590" s="172">
        <f t="shared" si="221"/>
        <v>585</v>
      </c>
      <c r="C590" s="142"/>
      <c r="D590" s="143"/>
      <c r="E590" s="127"/>
      <c r="F590" s="143" t="s">
        <v>218</v>
      </c>
      <c r="G590" s="201" t="s">
        <v>341</v>
      </c>
      <c r="H590" s="387">
        <f>SUM(H591:H593)</f>
        <v>2170</v>
      </c>
      <c r="I590" s="387">
        <f t="shared" ref="I590" si="224">SUM(I591:I593)</f>
        <v>1708</v>
      </c>
      <c r="J590" s="965">
        <f t="shared" si="201"/>
        <v>78.709677419354847</v>
      </c>
      <c r="K590" s="145"/>
      <c r="L590" s="394"/>
      <c r="M590" s="394"/>
      <c r="N590" s="1035"/>
      <c r="O590" s="145"/>
      <c r="P590" s="167">
        <f t="shared" si="212"/>
        <v>2170</v>
      </c>
      <c r="Q590" s="167">
        <f t="shared" si="217"/>
        <v>1708</v>
      </c>
      <c r="R590" s="982">
        <f t="shared" si="202"/>
        <v>78.709677419354847</v>
      </c>
    </row>
    <row r="591" spans="2:18" x14ac:dyDescent="0.2">
      <c r="B591" s="172">
        <f t="shared" si="221"/>
        <v>586</v>
      </c>
      <c r="C591" s="142"/>
      <c r="D591" s="143"/>
      <c r="E591" s="127"/>
      <c r="F591" s="127" t="s">
        <v>200</v>
      </c>
      <c r="G591" s="193" t="s">
        <v>247</v>
      </c>
      <c r="H591" s="570">
        <v>1230</v>
      </c>
      <c r="I591" s="570">
        <v>855</v>
      </c>
      <c r="J591" s="966">
        <f t="shared" si="201"/>
        <v>69.512195121951208</v>
      </c>
      <c r="K591" s="145"/>
      <c r="L591" s="394"/>
      <c r="M591" s="394"/>
      <c r="N591" s="1035"/>
      <c r="O591" s="145"/>
      <c r="P591" s="168">
        <f t="shared" si="212"/>
        <v>1230</v>
      </c>
      <c r="Q591" s="168">
        <f t="shared" si="217"/>
        <v>855</v>
      </c>
      <c r="R591" s="983">
        <f t="shared" si="202"/>
        <v>69.512195121951208</v>
      </c>
    </row>
    <row r="592" spans="2:18" x14ac:dyDescent="0.2">
      <c r="B592" s="172">
        <f t="shared" si="221"/>
        <v>587</v>
      </c>
      <c r="C592" s="142"/>
      <c r="D592" s="143"/>
      <c r="E592" s="127"/>
      <c r="F592" s="127" t="s">
        <v>214</v>
      </c>
      <c r="G592" s="193" t="s">
        <v>261</v>
      </c>
      <c r="H592" s="570">
        <v>100</v>
      </c>
      <c r="I592" s="570">
        <v>153</v>
      </c>
      <c r="J592" s="966">
        <f t="shared" si="201"/>
        <v>153</v>
      </c>
      <c r="K592" s="145"/>
      <c r="L592" s="394"/>
      <c r="M592" s="394"/>
      <c r="N592" s="1035"/>
      <c r="O592" s="145"/>
      <c r="P592" s="168">
        <f t="shared" si="212"/>
        <v>100</v>
      </c>
      <c r="Q592" s="168">
        <f t="shared" si="217"/>
        <v>153</v>
      </c>
      <c r="R592" s="983">
        <f t="shared" si="202"/>
        <v>153</v>
      </c>
    </row>
    <row r="593" spans="2:18" x14ac:dyDescent="0.2">
      <c r="B593" s="172">
        <f t="shared" si="221"/>
        <v>588</v>
      </c>
      <c r="C593" s="142"/>
      <c r="D593" s="143"/>
      <c r="E593" s="127"/>
      <c r="F593" s="127" t="s">
        <v>216</v>
      </c>
      <c r="G593" s="193" t="s">
        <v>248</v>
      </c>
      <c r="H593" s="570">
        <v>840</v>
      </c>
      <c r="I593" s="570">
        <v>700</v>
      </c>
      <c r="J593" s="966">
        <f t="shared" si="201"/>
        <v>83.333333333333343</v>
      </c>
      <c r="K593" s="145"/>
      <c r="L593" s="394"/>
      <c r="M593" s="394"/>
      <c r="N593" s="1035"/>
      <c r="O593" s="145"/>
      <c r="P593" s="168">
        <f t="shared" si="212"/>
        <v>840</v>
      </c>
      <c r="Q593" s="168">
        <f t="shared" si="217"/>
        <v>700</v>
      </c>
      <c r="R593" s="983">
        <f t="shared" si="202"/>
        <v>83.333333333333343</v>
      </c>
    </row>
    <row r="594" spans="2:18" x14ac:dyDescent="0.2">
      <c r="B594" s="172">
        <f t="shared" si="221"/>
        <v>589</v>
      </c>
      <c r="C594" s="126"/>
      <c r="D594" s="127"/>
      <c r="E594" s="170"/>
      <c r="F594" s="452" t="s">
        <v>607</v>
      </c>
      <c r="G594" s="531" t="s">
        <v>658</v>
      </c>
      <c r="H594" s="399"/>
      <c r="I594" s="399"/>
      <c r="J594" s="966"/>
      <c r="K594" s="338"/>
      <c r="L594" s="400">
        <f>2880+60-312</f>
        <v>2628</v>
      </c>
      <c r="M594" s="400">
        <v>2628</v>
      </c>
      <c r="N594" s="1035">
        <f t="shared" si="203"/>
        <v>100</v>
      </c>
      <c r="O594" s="338"/>
      <c r="P594" s="167">
        <f t="shared" si="212"/>
        <v>2628</v>
      </c>
      <c r="Q594" s="167">
        <f t="shared" si="217"/>
        <v>2628</v>
      </c>
      <c r="R594" s="982">
        <f t="shared" si="202"/>
        <v>100</v>
      </c>
    </row>
    <row r="595" spans="2:18" ht="15" x14ac:dyDescent="0.25">
      <c r="B595" s="172">
        <f t="shared" si="221"/>
        <v>590</v>
      </c>
      <c r="C595" s="142"/>
      <c r="D595" s="263" t="s">
        <v>359</v>
      </c>
      <c r="E595" s="176" t="s">
        <v>405</v>
      </c>
      <c r="F595" s="147" t="s">
        <v>412</v>
      </c>
      <c r="G595" s="238"/>
      <c r="H595" s="530">
        <f>SUM(H596:H598)+H602</f>
        <v>14327</v>
      </c>
      <c r="I595" s="530">
        <f t="shared" ref="I595" si="225">SUM(I596:I598)+I602</f>
        <v>14187</v>
      </c>
      <c r="J595" s="1029">
        <f t="shared" si="201"/>
        <v>99.022824038528654</v>
      </c>
      <c r="K595" s="335"/>
      <c r="L595" s="432"/>
      <c r="M595" s="432"/>
      <c r="N595" s="1035"/>
      <c r="O595" s="335"/>
      <c r="P595" s="331">
        <f t="shared" si="212"/>
        <v>14327</v>
      </c>
      <c r="Q595" s="331">
        <f t="shared" si="217"/>
        <v>14187</v>
      </c>
      <c r="R595" s="982">
        <f t="shared" si="202"/>
        <v>99.022824038528654</v>
      </c>
    </row>
    <row r="596" spans="2:18" ht="12" customHeight="1" x14ac:dyDescent="0.2">
      <c r="B596" s="172">
        <f t="shared" si="221"/>
        <v>591</v>
      </c>
      <c r="C596" s="142"/>
      <c r="D596" s="143"/>
      <c r="E596" s="127"/>
      <c r="F596" s="143" t="s">
        <v>211</v>
      </c>
      <c r="G596" s="201" t="s">
        <v>506</v>
      </c>
      <c r="H596" s="387">
        <f>9850+493-1918</f>
        <v>8425</v>
      </c>
      <c r="I596" s="387">
        <v>10395</v>
      </c>
      <c r="J596" s="965">
        <f t="shared" si="201"/>
        <v>123.38278931750742</v>
      </c>
      <c r="K596" s="145"/>
      <c r="L596" s="394"/>
      <c r="M596" s="394"/>
      <c r="N596" s="1035"/>
      <c r="O596" s="145"/>
      <c r="P596" s="167">
        <f t="shared" si="212"/>
        <v>8425</v>
      </c>
      <c r="Q596" s="167">
        <f t="shared" si="217"/>
        <v>10395</v>
      </c>
      <c r="R596" s="982">
        <f t="shared" si="202"/>
        <v>123.38278931750742</v>
      </c>
    </row>
    <row r="597" spans="2:18" ht="12" customHeight="1" x14ac:dyDescent="0.2">
      <c r="B597" s="172">
        <f t="shared" si="221"/>
        <v>592</v>
      </c>
      <c r="C597" s="142"/>
      <c r="D597" s="143"/>
      <c r="E597" s="127"/>
      <c r="F597" s="143" t="s">
        <v>212</v>
      </c>
      <c r="G597" s="201" t="s">
        <v>259</v>
      </c>
      <c r="H597" s="387">
        <f>3644+182-379</f>
        <v>3447</v>
      </c>
      <c r="I597" s="387">
        <v>2337</v>
      </c>
      <c r="J597" s="965">
        <f t="shared" si="201"/>
        <v>67.798085291557868</v>
      </c>
      <c r="K597" s="145"/>
      <c r="L597" s="394"/>
      <c r="M597" s="394"/>
      <c r="N597" s="1035"/>
      <c r="O597" s="145"/>
      <c r="P597" s="167">
        <f t="shared" si="212"/>
        <v>3447</v>
      </c>
      <c r="Q597" s="167">
        <f t="shared" si="217"/>
        <v>2337</v>
      </c>
      <c r="R597" s="982">
        <f t="shared" si="202"/>
        <v>67.798085291557868</v>
      </c>
    </row>
    <row r="598" spans="2:18" ht="12" customHeight="1" x14ac:dyDescent="0.2">
      <c r="B598" s="172">
        <f t="shared" si="221"/>
        <v>593</v>
      </c>
      <c r="C598" s="142"/>
      <c r="D598" s="143"/>
      <c r="E598" s="127"/>
      <c r="F598" s="143" t="s">
        <v>218</v>
      </c>
      <c r="G598" s="201" t="s">
        <v>341</v>
      </c>
      <c r="H598" s="387">
        <f>SUM(H599:H601)</f>
        <v>1595</v>
      </c>
      <c r="I598" s="387">
        <f t="shared" ref="I598" si="226">SUM(I599:I601)</f>
        <v>1455</v>
      </c>
      <c r="J598" s="965">
        <f t="shared" si="201"/>
        <v>91.222570532915356</v>
      </c>
      <c r="K598" s="145"/>
      <c r="L598" s="394"/>
      <c r="M598" s="394"/>
      <c r="N598" s="1035"/>
      <c r="O598" s="145"/>
      <c r="P598" s="167">
        <f t="shared" si="212"/>
        <v>1595</v>
      </c>
      <c r="Q598" s="167">
        <f t="shared" si="217"/>
        <v>1455</v>
      </c>
      <c r="R598" s="982">
        <f t="shared" si="202"/>
        <v>91.222570532915356</v>
      </c>
    </row>
    <row r="599" spans="2:18" ht="12" customHeight="1" x14ac:dyDescent="0.2">
      <c r="B599" s="172">
        <f t="shared" si="221"/>
        <v>594</v>
      </c>
      <c r="C599" s="142"/>
      <c r="D599" s="143"/>
      <c r="E599" s="127"/>
      <c r="F599" s="127" t="s">
        <v>200</v>
      </c>
      <c r="G599" s="193" t="s">
        <v>247</v>
      </c>
      <c r="H599" s="570">
        <v>815</v>
      </c>
      <c r="I599" s="570">
        <v>857</v>
      </c>
      <c r="J599" s="966">
        <f t="shared" si="201"/>
        <v>105.15337423312883</v>
      </c>
      <c r="K599" s="145"/>
      <c r="L599" s="394"/>
      <c r="M599" s="394"/>
      <c r="N599" s="1035"/>
      <c r="O599" s="145"/>
      <c r="P599" s="168">
        <f t="shared" si="212"/>
        <v>815</v>
      </c>
      <c r="Q599" s="168">
        <f t="shared" si="217"/>
        <v>857</v>
      </c>
      <c r="R599" s="983">
        <f t="shared" si="202"/>
        <v>105.15337423312883</v>
      </c>
    </row>
    <row r="600" spans="2:18" ht="12" customHeight="1" x14ac:dyDescent="0.2">
      <c r="B600" s="172">
        <f t="shared" si="221"/>
        <v>595</v>
      </c>
      <c r="C600" s="142"/>
      <c r="D600" s="143"/>
      <c r="E600" s="127"/>
      <c r="F600" s="127" t="s">
        <v>214</v>
      </c>
      <c r="G600" s="193" t="s">
        <v>261</v>
      </c>
      <c r="H600" s="570">
        <v>60</v>
      </c>
      <c r="I600" s="570">
        <v>0</v>
      </c>
      <c r="J600" s="966">
        <f t="shared" si="201"/>
        <v>0</v>
      </c>
      <c r="K600" s="145"/>
      <c r="L600" s="394"/>
      <c r="M600" s="394"/>
      <c r="N600" s="1035"/>
      <c r="O600" s="145"/>
      <c r="P600" s="168">
        <f t="shared" si="212"/>
        <v>60</v>
      </c>
      <c r="Q600" s="168">
        <f t="shared" si="217"/>
        <v>0</v>
      </c>
      <c r="R600" s="983">
        <f t="shared" si="202"/>
        <v>0</v>
      </c>
    </row>
    <row r="601" spans="2:18" x14ac:dyDescent="0.2">
      <c r="B601" s="172">
        <f t="shared" si="221"/>
        <v>596</v>
      </c>
      <c r="C601" s="142"/>
      <c r="D601" s="143"/>
      <c r="E601" s="127"/>
      <c r="F601" s="127" t="s">
        <v>216</v>
      </c>
      <c r="G601" s="193" t="s">
        <v>248</v>
      </c>
      <c r="H601" s="570">
        <v>720</v>
      </c>
      <c r="I601" s="570">
        <v>598</v>
      </c>
      <c r="J601" s="966">
        <f t="shared" si="201"/>
        <v>83.055555555555557</v>
      </c>
      <c r="K601" s="145"/>
      <c r="L601" s="394"/>
      <c r="M601" s="394"/>
      <c r="N601" s="1035"/>
      <c r="O601" s="145"/>
      <c r="P601" s="168">
        <f t="shared" si="212"/>
        <v>720</v>
      </c>
      <c r="Q601" s="168">
        <f t="shared" si="217"/>
        <v>598</v>
      </c>
      <c r="R601" s="983">
        <f t="shared" si="202"/>
        <v>83.055555555555557</v>
      </c>
    </row>
    <row r="602" spans="2:18" x14ac:dyDescent="0.2">
      <c r="B602" s="172">
        <f t="shared" si="221"/>
        <v>597</v>
      </c>
      <c r="C602" s="142"/>
      <c r="D602" s="143"/>
      <c r="E602" s="170"/>
      <c r="F602" s="143" t="s">
        <v>217</v>
      </c>
      <c r="G602" s="201" t="s">
        <v>505</v>
      </c>
      <c r="H602" s="387">
        <v>860</v>
      </c>
      <c r="I602" s="387">
        <v>0</v>
      </c>
      <c r="J602" s="965">
        <f t="shared" si="201"/>
        <v>0</v>
      </c>
      <c r="K602" s="145"/>
      <c r="L602" s="394"/>
      <c r="M602" s="394"/>
      <c r="N602" s="1035"/>
      <c r="O602" s="145"/>
      <c r="P602" s="167">
        <f t="shared" si="212"/>
        <v>860</v>
      </c>
      <c r="Q602" s="167">
        <f t="shared" si="217"/>
        <v>0</v>
      </c>
      <c r="R602" s="982">
        <f t="shared" si="202"/>
        <v>0</v>
      </c>
    </row>
    <row r="603" spans="2:18" ht="15" x14ac:dyDescent="0.25">
      <c r="B603" s="172">
        <f t="shared" si="221"/>
        <v>598</v>
      </c>
      <c r="C603" s="142"/>
      <c r="D603" s="263" t="s">
        <v>361</v>
      </c>
      <c r="E603" s="176" t="s">
        <v>405</v>
      </c>
      <c r="F603" s="147" t="s">
        <v>413</v>
      </c>
      <c r="G603" s="238"/>
      <c r="H603" s="427">
        <f>SUM(H604:H606)</f>
        <v>18768</v>
      </c>
      <c r="I603" s="427">
        <f>I604+I605+I606+I610</f>
        <v>18625</v>
      </c>
      <c r="J603" s="965">
        <f t="shared" si="201"/>
        <v>99.238064791133837</v>
      </c>
      <c r="K603" s="335"/>
      <c r="L603" s="432">
        <f>L611</f>
        <v>580</v>
      </c>
      <c r="M603" s="432">
        <f t="shared" ref="M603" si="227">M611</f>
        <v>579</v>
      </c>
      <c r="N603" s="1035">
        <f t="shared" si="203"/>
        <v>99.827586206896555</v>
      </c>
      <c r="O603" s="335"/>
      <c r="P603" s="331">
        <f t="shared" si="212"/>
        <v>19348</v>
      </c>
      <c r="Q603" s="331">
        <f t="shared" si="217"/>
        <v>19204</v>
      </c>
      <c r="R603" s="982">
        <f t="shared" si="202"/>
        <v>99.255737027082901</v>
      </c>
    </row>
    <row r="604" spans="2:18" ht="12" customHeight="1" x14ac:dyDescent="0.2">
      <c r="B604" s="172">
        <f t="shared" si="221"/>
        <v>599</v>
      </c>
      <c r="C604" s="142"/>
      <c r="D604" s="143"/>
      <c r="E604" s="127"/>
      <c r="F604" s="143" t="s">
        <v>211</v>
      </c>
      <c r="G604" s="201" t="s">
        <v>506</v>
      </c>
      <c r="H604" s="387">
        <f>12135+607-292</f>
        <v>12450</v>
      </c>
      <c r="I604" s="387">
        <v>12413</v>
      </c>
      <c r="J604" s="965">
        <f t="shared" si="201"/>
        <v>99.702811244979912</v>
      </c>
      <c r="K604" s="145"/>
      <c r="L604" s="394"/>
      <c r="M604" s="394"/>
      <c r="N604" s="1035"/>
      <c r="O604" s="145"/>
      <c r="P604" s="167">
        <f t="shared" si="212"/>
        <v>12450</v>
      </c>
      <c r="Q604" s="167">
        <f t="shared" si="217"/>
        <v>12413</v>
      </c>
      <c r="R604" s="982">
        <f t="shared" si="202"/>
        <v>99.702811244979912</v>
      </c>
    </row>
    <row r="605" spans="2:18" ht="12" customHeight="1" x14ac:dyDescent="0.2">
      <c r="B605" s="172">
        <f t="shared" si="221"/>
        <v>600</v>
      </c>
      <c r="C605" s="142"/>
      <c r="D605" s="143"/>
      <c r="E605" s="127"/>
      <c r="F605" s="143" t="s">
        <v>212</v>
      </c>
      <c r="G605" s="201" t="s">
        <v>259</v>
      </c>
      <c r="H605" s="387">
        <f>4490+225-122</f>
        <v>4593</v>
      </c>
      <c r="I605" s="387">
        <v>4566</v>
      </c>
      <c r="J605" s="965">
        <f t="shared" si="201"/>
        <v>99.412148922273019</v>
      </c>
      <c r="K605" s="145"/>
      <c r="L605" s="394"/>
      <c r="M605" s="394"/>
      <c r="N605" s="1035"/>
      <c r="O605" s="145"/>
      <c r="P605" s="167">
        <f t="shared" si="212"/>
        <v>4593</v>
      </c>
      <c r="Q605" s="167">
        <f t="shared" si="217"/>
        <v>4566</v>
      </c>
      <c r="R605" s="982">
        <f t="shared" si="202"/>
        <v>99.412148922273019</v>
      </c>
    </row>
    <row r="606" spans="2:18" ht="12" customHeight="1" x14ac:dyDescent="0.2">
      <c r="B606" s="172">
        <f t="shared" si="221"/>
        <v>601</v>
      </c>
      <c r="C606" s="142"/>
      <c r="D606" s="143"/>
      <c r="E606" s="127"/>
      <c r="F606" s="143" t="s">
        <v>218</v>
      </c>
      <c r="G606" s="201" t="s">
        <v>341</v>
      </c>
      <c r="H606" s="387">
        <f>SUM(H607:H609)</f>
        <v>1725</v>
      </c>
      <c r="I606" s="387">
        <f t="shared" ref="I606" si="228">SUM(I607:I609)</f>
        <v>1581</v>
      </c>
      <c r="J606" s="965">
        <f t="shared" ref="J606:J670" si="229">I606/H606*100</f>
        <v>91.652173913043484</v>
      </c>
      <c r="K606" s="145"/>
      <c r="L606" s="394"/>
      <c r="M606" s="394"/>
      <c r="N606" s="1035"/>
      <c r="O606" s="145"/>
      <c r="P606" s="167">
        <f t="shared" si="212"/>
        <v>1725</v>
      </c>
      <c r="Q606" s="167">
        <f t="shared" si="217"/>
        <v>1581</v>
      </c>
      <c r="R606" s="982">
        <f t="shared" ref="R606:R670" si="230">Q606/P606*100</f>
        <v>91.652173913043484</v>
      </c>
    </row>
    <row r="607" spans="2:18" ht="12" customHeight="1" x14ac:dyDescent="0.2">
      <c r="B607" s="172">
        <f t="shared" si="221"/>
        <v>602</v>
      </c>
      <c r="C607" s="653"/>
      <c r="D607" s="654"/>
      <c r="E607" s="308"/>
      <c r="F607" s="308" t="s">
        <v>200</v>
      </c>
      <c r="G607" s="225" t="s">
        <v>247</v>
      </c>
      <c r="H607" s="571">
        <v>815</v>
      </c>
      <c r="I607" s="571">
        <v>951</v>
      </c>
      <c r="J607" s="979">
        <f t="shared" si="229"/>
        <v>116.68711656441717</v>
      </c>
      <c r="K607" s="145"/>
      <c r="L607" s="394"/>
      <c r="M607" s="394"/>
      <c r="N607" s="1035"/>
      <c r="O607" s="145"/>
      <c r="P607" s="168">
        <f t="shared" si="212"/>
        <v>815</v>
      </c>
      <c r="Q607" s="168">
        <f t="shared" si="217"/>
        <v>951</v>
      </c>
      <c r="R607" s="983">
        <f t="shared" si="230"/>
        <v>116.68711656441717</v>
      </c>
    </row>
    <row r="608" spans="2:18" ht="12" customHeight="1" x14ac:dyDescent="0.2">
      <c r="B608" s="172">
        <f t="shared" si="221"/>
        <v>603</v>
      </c>
      <c r="C608" s="291"/>
      <c r="D608" s="286"/>
      <c r="E608" s="292"/>
      <c r="F608" s="292" t="s">
        <v>214</v>
      </c>
      <c r="G608" s="204" t="s">
        <v>261</v>
      </c>
      <c r="H608" s="570">
        <v>100</v>
      </c>
      <c r="I608" s="570">
        <v>26</v>
      </c>
      <c r="J608" s="966">
        <f t="shared" si="229"/>
        <v>26</v>
      </c>
      <c r="K608" s="245"/>
      <c r="L608" s="144"/>
      <c r="M608" s="144"/>
      <c r="N608" s="1040"/>
      <c r="O608" s="245"/>
      <c r="P608" s="169">
        <f t="shared" si="212"/>
        <v>100</v>
      </c>
      <c r="Q608" s="169">
        <f t="shared" si="217"/>
        <v>26</v>
      </c>
      <c r="R608" s="986">
        <f t="shared" si="230"/>
        <v>26</v>
      </c>
    </row>
    <row r="609" spans="2:18" ht="12" customHeight="1" x14ac:dyDescent="0.2">
      <c r="B609" s="172">
        <f t="shared" si="221"/>
        <v>604</v>
      </c>
      <c r="C609" s="291"/>
      <c r="D609" s="286"/>
      <c r="E609" s="292"/>
      <c r="F609" s="292" t="s">
        <v>216</v>
      </c>
      <c r="G609" s="204" t="s">
        <v>248</v>
      </c>
      <c r="H609" s="570">
        <v>810</v>
      </c>
      <c r="I609" s="570">
        <v>604</v>
      </c>
      <c r="J609" s="966">
        <f t="shared" si="229"/>
        <v>74.567901234567898</v>
      </c>
      <c r="K609" s="245"/>
      <c r="L609" s="144"/>
      <c r="M609" s="144"/>
      <c r="N609" s="1040"/>
      <c r="O609" s="245"/>
      <c r="P609" s="169">
        <f>H609+L609</f>
        <v>810</v>
      </c>
      <c r="Q609" s="169">
        <f t="shared" si="217"/>
        <v>604</v>
      </c>
      <c r="R609" s="986">
        <f t="shared" si="230"/>
        <v>74.567901234567898</v>
      </c>
    </row>
    <row r="610" spans="2:18" ht="12" customHeight="1" x14ac:dyDescent="0.2">
      <c r="B610" s="172">
        <f t="shared" si="221"/>
        <v>605</v>
      </c>
      <c r="C610" s="291"/>
      <c r="D610" s="286"/>
      <c r="E610" s="292"/>
      <c r="F610" s="143" t="s">
        <v>217</v>
      </c>
      <c r="G610" s="201" t="s">
        <v>372</v>
      </c>
      <c r="H610" s="387">
        <v>0</v>
      </c>
      <c r="I610" s="387">
        <v>65</v>
      </c>
      <c r="J610" s="965">
        <v>0</v>
      </c>
      <c r="K610" s="245"/>
      <c r="L610" s="144"/>
      <c r="M610" s="144"/>
      <c r="N610" s="1040"/>
      <c r="O610" s="245"/>
      <c r="P610" s="575">
        <f>H610+L610</f>
        <v>0</v>
      </c>
      <c r="Q610" s="575">
        <f t="shared" si="217"/>
        <v>65</v>
      </c>
      <c r="R610" s="1001">
        <v>0</v>
      </c>
    </row>
    <row r="611" spans="2:18" ht="12" customHeight="1" x14ac:dyDescent="0.2">
      <c r="B611" s="172">
        <f t="shared" si="221"/>
        <v>606</v>
      </c>
      <c r="C611" s="291"/>
      <c r="D611" s="286"/>
      <c r="E611" s="292"/>
      <c r="F611" s="286" t="s">
        <v>607</v>
      </c>
      <c r="G611" s="205" t="s">
        <v>724</v>
      </c>
      <c r="H611" s="570"/>
      <c r="I611" s="570"/>
      <c r="J611" s="966"/>
      <c r="K611" s="245"/>
      <c r="L611" s="144">
        <f>600-20</f>
        <v>580</v>
      </c>
      <c r="M611" s="144">
        <v>579</v>
      </c>
      <c r="N611" s="1040">
        <f t="shared" ref="N611:N660" si="231">M611/L611*100</f>
        <v>99.827586206896555</v>
      </c>
      <c r="O611" s="245"/>
      <c r="P611" s="575">
        <f>H611+L611</f>
        <v>580</v>
      </c>
      <c r="Q611" s="575">
        <f t="shared" si="217"/>
        <v>579</v>
      </c>
      <c r="R611" s="1001">
        <f t="shared" si="230"/>
        <v>99.827586206896555</v>
      </c>
    </row>
    <row r="612" spans="2:18" ht="15" customHeight="1" x14ac:dyDescent="0.25">
      <c r="B612" s="172">
        <f t="shared" si="221"/>
        <v>607</v>
      </c>
      <c r="C612" s="291"/>
      <c r="D612" s="286"/>
      <c r="E612" s="657" t="s">
        <v>511</v>
      </c>
      <c r="F612" s="292"/>
      <c r="G612" s="204"/>
      <c r="H612" s="442">
        <f>H613+H632+H649+H671+H690+H709+H728+H748</f>
        <v>675043</v>
      </c>
      <c r="I612" s="442">
        <f>I613+I632+I649+I671+I690+I709+I728+I748</f>
        <v>675043</v>
      </c>
      <c r="J612" s="965">
        <f t="shared" si="229"/>
        <v>100</v>
      </c>
      <c r="K612" s="245"/>
      <c r="L612" s="144">
        <f>L613+L632+L649+L671+L690+L709+L728+L748</f>
        <v>67202</v>
      </c>
      <c r="M612" s="144">
        <f>M649+M709+M728+M748</f>
        <v>65490</v>
      </c>
      <c r="N612" s="1040">
        <f t="shared" si="231"/>
        <v>97.452456772119874</v>
      </c>
      <c r="O612" s="245"/>
      <c r="P612" s="575">
        <f t="shared" si="212"/>
        <v>742245</v>
      </c>
      <c r="Q612" s="575">
        <f t="shared" si="217"/>
        <v>740533</v>
      </c>
      <c r="R612" s="1001">
        <f t="shared" si="230"/>
        <v>99.76934839574534</v>
      </c>
    </row>
    <row r="613" spans="2:18" ht="15" x14ac:dyDescent="0.25">
      <c r="B613" s="172">
        <f t="shared" si="221"/>
        <v>608</v>
      </c>
      <c r="C613" s="291"/>
      <c r="D613" s="658" t="s">
        <v>363</v>
      </c>
      <c r="E613" s="176"/>
      <c r="F613" s="354" t="s">
        <v>378</v>
      </c>
      <c r="G613" s="238"/>
      <c r="H613" s="427">
        <f>H614+H623</f>
        <v>98790</v>
      </c>
      <c r="I613" s="427">
        <f>I614+I623</f>
        <v>98790</v>
      </c>
      <c r="J613" s="965">
        <f t="shared" si="229"/>
        <v>100</v>
      </c>
      <c r="K613" s="659"/>
      <c r="L613" s="529"/>
      <c r="M613" s="529"/>
      <c r="N613" s="1040"/>
      <c r="O613" s="659"/>
      <c r="P613" s="344">
        <f t="shared" si="212"/>
        <v>98790</v>
      </c>
      <c r="Q613" s="344">
        <f t="shared" si="217"/>
        <v>98790</v>
      </c>
      <c r="R613" s="1001">
        <f t="shared" si="230"/>
        <v>100</v>
      </c>
    </row>
    <row r="614" spans="2:18" ht="14.25" x14ac:dyDescent="0.2">
      <c r="B614" s="172">
        <f t="shared" si="221"/>
        <v>609</v>
      </c>
      <c r="C614" s="75"/>
      <c r="D614" s="660"/>
      <c r="E614" s="661" t="s">
        <v>688</v>
      </c>
      <c r="F614" s="662" t="s">
        <v>691</v>
      </c>
      <c r="G614" s="663"/>
      <c r="H614" s="567">
        <f>H615+H616+H617+H622</f>
        <v>36916</v>
      </c>
      <c r="I614" s="567">
        <f>I615+I616+I617+I622</f>
        <v>32646</v>
      </c>
      <c r="J614" s="965">
        <f t="shared" si="229"/>
        <v>88.433199696608526</v>
      </c>
      <c r="K614" s="664"/>
      <c r="L614" s="560"/>
      <c r="M614" s="560"/>
      <c r="N614" s="1037"/>
      <c r="O614" s="664"/>
      <c r="P614" s="564">
        <f t="shared" si="212"/>
        <v>36916</v>
      </c>
      <c r="Q614" s="564">
        <f t="shared" si="217"/>
        <v>32646</v>
      </c>
      <c r="R614" s="1001">
        <f t="shared" si="230"/>
        <v>88.433199696608526</v>
      </c>
    </row>
    <row r="615" spans="2:18" ht="12" customHeight="1" x14ac:dyDescent="0.2">
      <c r="B615" s="172">
        <f t="shared" si="221"/>
        <v>610</v>
      </c>
      <c r="C615" s="291"/>
      <c r="D615" s="286"/>
      <c r="E615" s="292"/>
      <c r="F615" s="286" t="s">
        <v>211</v>
      </c>
      <c r="G615" s="205" t="s">
        <v>506</v>
      </c>
      <c r="H615" s="573">
        <f>21840+1092-4300</f>
        <v>18632</v>
      </c>
      <c r="I615" s="573">
        <v>16226</v>
      </c>
      <c r="J615" s="965">
        <f t="shared" si="229"/>
        <v>87.086732503220261</v>
      </c>
      <c r="K615" s="340"/>
      <c r="L615" s="439"/>
      <c r="M615" s="439"/>
      <c r="N615" s="1040"/>
      <c r="O615" s="340"/>
      <c r="P615" s="575">
        <f t="shared" si="212"/>
        <v>18632</v>
      </c>
      <c r="Q615" s="575">
        <f t="shared" si="217"/>
        <v>16226</v>
      </c>
      <c r="R615" s="1001">
        <f t="shared" si="230"/>
        <v>87.086732503220261</v>
      </c>
    </row>
    <row r="616" spans="2:18" ht="12" customHeight="1" x14ac:dyDescent="0.2">
      <c r="B616" s="172">
        <f t="shared" si="221"/>
        <v>611</v>
      </c>
      <c r="C616" s="142"/>
      <c r="D616" s="143"/>
      <c r="E616" s="127"/>
      <c r="F616" s="143" t="s">
        <v>212</v>
      </c>
      <c r="G616" s="201" t="s">
        <v>259</v>
      </c>
      <c r="H616" s="492">
        <f>7644+382-1200</f>
        <v>6826</v>
      </c>
      <c r="I616" s="492">
        <v>5993</v>
      </c>
      <c r="J616" s="995">
        <f t="shared" si="229"/>
        <v>87.796659830061529</v>
      </c>
      <c r="K616" s="336"/>
      <c r="L616" s="443"/>
      <c r="M616" s="443"/>
      <c r="N616" s="1041"/>
      <c r="O616" s="336"/>
      <c r="P616" s="655">
        <f t="shared" si="212"/>
        <v>6826</v>
      </c>
      <c r="Q616" s="655">
        <f t="shared" si="217"/>
        <v>5993</v>
      </c>
      <c r="R616" s="999">
        <f t="shared" si="230"/>
        <v>87.796659830061529</v>
      </c>
    </row>
    <row r="617" spans="2:18" ht="12" customHeight="1" x14ac:dyDescent="0.2">
      <c r="B617" s="172">
        <f t="shared" si="221"/>
        <v>612</v>
      </c>
      <c r="C617" s="142"/>
      <c r="D617" s="143"/>
      <c r="E617" s="127"/>
      <c r="F617" s="143" t="s">
        <v>218</v>
      </c>
      <c r="G617" s="201" t="s">
        <v>341</v>
      </c>
      <c r="H617" s="573">
        <f>SUM(H618:H621)</f>
        <v>9898</v>
      </c>
      <c r="I617" s="573">
        <f>SUM(I618:I621)</f>
        <v>8928</v>
      </c>
      <c r="J617" s="965">
        <f t="shared" si="229"/>
        <v>90.200040412204487</v>
      </c>
      <c r="K617" s="336"/>
      <c r="L617" s="400"/>
      <c r="M617" s="400"/>
      <c r="N617" s="1035"/>
      <c r="O617" s="336"/>
      <c r="P617" s="167">
        <f t="shared" si="212"/>
        <v>9898</v>
      </c>
      <c r="Q617" s="167">
        <f t="shared" si="217"/>
        <v>8928</v>
      </c>
      <c r="R617" s="982">
        <f t="shared" si="230"/>
        <v>90.200040412204487</v>
      </c>
    </row>
    <row r="618" spans="2:18" ht="12" customHeight="1" x14ac:dyDescent="0.2">
      <c r="B618" s="172">
        <f t="shared" si="221"/>
        <v>613</v>
      </c>
      <c r="C618" s="142"/>
      <c r="D618" s="143"/>
      <c r="E618" s="127"/>
      <c r="F618" s="127" t="s">
        <v>199</v>
      </c>
      <c r="G618" s="193" t="s">
        <v>319</v>
      </c>
      <c r="H618" s="399">
        <f>1824+136</f>
        <v>1960</v>
      </c>
      <c r="I618" s="399">
        <v>807</v>
      </c>
      <c r="J618" s="966">
        <f t="shared" si="229"/>
        <v>41.173469387755105</v>
      </c>
      <c r="K618" s="336"/>
      <c r="L618" s="400"/>
      <c r="M618" s="400"/>
      <c r="N618" s="1035"/>
      <c r="O618" s="336"/>
      <c r="P618" s="168">
        <f t="shared" si="212"/>
        <v>1960</v>
      </c>
      <c r="Q618" s="168">
        <f t="shared" si="217"/>
        <v>807</v>
      </c>
      <c r="R618" s="983">
        <f t="shared" si="230"/>
        <v>41.173469387755105</v>
      </c>
    </row>
    <row r="619" spans="2:18" ht="12" customHeight="1" x14ac:dyDescent="0.2">
      <c r="B619" s="172">
        <f t="shared" si="221"/>
        <v>614</v>
      </c>
      <c r="C619" s="142"/>
      <c r="D619" s="143"/>
      <c r="E619" s="127"/>
      <c r="F619" s="127" t="s">
        <v>200</v>
      </c>
      <c r="G619" s="193" t="s">
        <v>247</v>
      </c>
      <c r="H619" s="399">
        <f>1530+2744</f>
        <v>4274</v>
      </c>
      <c r="I619" s="399">
        <v>4000</v>
      </c>
      <c r="J619" s="966">
        <f t="shared" si="229"/>
        <v>93.589143659335519</v>
      </c>
      <c r="K619" s="336"/>
      <c r="L619" s="400"/>
      <c r="M619" s="400"/>
      <c r="N619" s="1035"/>
      <c r="O619" s="336"/>
      <c r="P619" s="168">
        <f t="shared" si="212"/>
        <v>4274</v>
      </c>
      <c r="Q619" s="168">
        <f t="shared" si="217"/>
        <v>4000</v>
      </c>
      <c r="R619" s="983">
        <f t="shared" si="230"/>
        <v>93.589143659335519</v>
      </c>
    </row>
    <row r="620" spans="2:18" ht="12" customHeight="1" x14ac:dyDescent="0.2">
      <c r="B620" s="172">
        <f t="shared" si="221"/>
        <v>615</v>
      </c>
      <c r="C620" s="291"/>
      <c r="D620" s="286"/>
      <c r="E620" s="292"/>
      <c r="F620" s="292" t="s">
        <v>214</v>
      </c>
      <c r="G620" s="204" t="s">
        <v>261</v>
      </c>
      <c r="H620" s="399">
        <f>340+1180</f>
        <v>1520</v>
      </c>
      <c r="I620" s="399">
        <v>1793</v>
      </c>
      <c r="J620" s="966">
        <f t="shared" si="229"/>
        <v>117.96052631578948</v>
      </c>
      <c r="K620" s="336"/>
      <c r="L620" s="400"/>
      <c r="M620" s="400"/>
      <c r="N620" s="1035"/>
      <c r="O620" s="336"/>
      <c r="P620" s="168">
        <f t="shared" si="212"/>
        <v>1520</v>
      </c>
      <c r="Q620" s="168">
        <f t="shared" si="217"/>
        <v>1793</v>
      </c>
      <c r="R620" s="983">
        <f t="shared" si="230"/>
        <v>117.96052631578948</v>
      </c>
    </row>
    <row r="621" spans="2:18" ht="12" customHeight="1" x14ac:dyDescent="0.2">
      <c r="B621" s="172">
        <f t="shared" si="221"/>
        <v>616</v>
      </c>
      <c r="C621" s="142"/>
      <c r="D621" s="143"/>
      <c r="E621" s="127"/>
      <c r="F621" s="127" t="s">
        <v>216</v>
      </c>
      <c r="G621" s="193" t="s">
        <v>248</v>
      </c>
      <c r="H621" s="399">
        <v>2144</v>
      </c>
      <c r="I621" s="399">
        <v>2328</v>
      </c>
      <c r="J621" s="966">
        <f t="shared" si="229"/>
        <v>108.5820895522388</v>
      </c>
      <c r="K621" s="336"/>
      <c r="L621" s="439"/>
      <c r="M621" s="439"/>
      <c r="N621" s="1040"/>
      <c r="O621" s="336"/>
      <c r="P621" s="169">
        <f t="shared" si="212"/>
        <v>2144</v>
      </c>
      <c r="Q621" s="169">
        <f t="shared" si="217"/>
        <v>2328</v>
      </c>
      <c r="R621" s="986">
        <f t="shared" si="230"/>
        <v>108.5820895522388</v>
      </c>
    </row>
    <row r="622" spans="2:18" x14ac:dyDescent="0.2">
      <c r="B622" s="172">
        <f t="shared" si="221"/>
        <v>617</v>
      </c>
      <c r="C622" s="142"/>
      <c r="D622" s="143"/>
      <c r="E622" s="127"/>
      <c r="F622" s="143" t="s">
        <v>217</v>
      </c>
      <c r="G622" s="201" t="s">
        <v>372</v>
      </c>
      <c r="H622" s="573">
        <f>100+1460</f>
        <v>1560</v>
      </c>
      <c r="I622" s="573">
        <v>1499</v>
      </c>
      <c r="J622" s="965">
        <f t="shared" si="229"/>
        <v>96.089743589743591</v>
      </c>
      <c r="K622" s="337"/>
      <c r="L622" s="439"/>
      <c r="M622" s="439"/>
      <c r="N622" s="1040"/>
      <c r="O622" s="337"/>
      <c r="P622" s="575">
        <f t="shared" si="212"/>
        <v>1560</v>
      </c>
      <c r="Q622" s="575">
        <f t="shared" si="217"/>
        <v>1499</v>
      </c>
      <c r="R622" s="1001">
        <f t="shared" si="230"/>
        <v>96.089743589743591</v>
      </c>
    </row>
    <row r="623" spans="2:18" ht="14.25" x14ac:dyDescent="0.2">
      <c r="B623" s="172">
        <f t="shared" si="221"/>
        <v>618</v>
      </c>
      <c r="C623" s="74"/>
      <c r="D623" s="558"/>
      <c r="E623" s="565" t="s">
        <v>689</v>
      </c>
      <c r="F623" s="562" t="s">
        <v>690</v>
      </c>
      <c r="G623" s="561"/>
      <c r="H623" s="567">
        <f>H624+H625+H626+H631</f>
        <v>61874</v>
      </c>
      <c r="I623" s="567">
        <f>I624+I625+I626+I631</f>
        <v>66144</v>
      </c>
      <c r="J623" s="965">
        <f t="shared" si="229"/>
        <v>106.90112163428904</v>
      </c>
      <c r="K623" s="334"/>
      <c r="L623" s="560"/>
      <c r="M623" s="560"/>
      <c r="N623" s="1037"/>
      <c r="O623" s="334"/>
      <c r="P623" s="564">
        <f t="shared" si="212"/>
        <v>61874</v>
      </c>
      <c r="Q623" s="564">
        <f t="shared" si="217"/>
        <v>66144</v>
      </c>
      <c r="R623" s="1001">
        <f t="shared" si="230"/>
        <v>106.90112163428904</v>
      </c>
    </row>
    <row r="624" spans="2:18" x14ac:dyDescent="0.2">
      <c r="B624" s="172">
        <f t="shared" si="221"/>
        <v>619</v>
      </c>
      <c r="C624" s="142"/>
      <c r="D624" s="143"/>
      <c r="E624" s="170"/>
      <c r="F624" s="143" t="s">
        <v>211</v>
      </c>
      <c r="G624" s="201" t="s">
        <v>506</v>
      </c>
      <c r="H624" s="573">
        <f>32760+1638+2600</f>
        <v>36998</v>
      </c>
      <c r="I624" s="573">
        <v>39641</v>
      </c>
      <c r="J624" s="965">
        <f t="shared" si="229"/>
        <v>107.14362938537218</v>
      </c>
      <c r="K624" s="336"/>
      <c r="L624" s="439"/>
      <c r="M624" s="439"/>
      <c r="N624" s="1040"/>
      <c r="O624" s="336"/>
      <c r="P624" s="575">
        <f t="shared" si="212"/>
        <v>36998</v>
      </c>
      <c r="Q624" s="575">
        <f t="shared" si="217"/>
        <v>39641</v>
      </c>
      <c r="R624" s="1001">
        <f t="shared" si="230"/>
        <v>107.14362938537218</v>
      </c>
    </row>
    <row r="625" spans="2:18" x14ac:dyDescent="0.2">
      <c r="B625" s="172">
        <f t="shared" si="221"/>
        <v>620</v>
      </c>
      <c r="C625" s="142"/>
      <c r="D625" s="143"/>
      <c r="E625" s="170"/>
      <c r="F625" s="143" t="s">
        <v>212</v>
      </c>
      <c r="G625" s="201" t="s">
        <v>259</v>
      </c>
      <c r="H625" s="573">
        <f>11466+573-1100</f>
        <v>10939</v>
      </c>
      <c r="I625" s="573">
        <v>11534</v>
      </c>
      <c r="J625" s="965">
        <f t="shared" si="229"/>
        <v>105.43925404515953</v>
      </c>
      <c r="K625" s="336"/>
      <c r="L625" s="439"/>
      <c r="M625" s="439"/>
      <c r="N625" s="1040"/>
      <c r="O625" s="336"/>
      <c r="P625" s="575">
        <f t="shared" si="212"/>
        <v>10939</v>
      </c>
      <c r="Q625" s="575">
        <f t="shared" si="217"/>
        <v>11534</v>
      </c>
      <c r="R625" s="1001">
        <f t="shared" si="230"/>
        <v>105.43925404515953</v>
      </c>
    </row>
    <row r="626" spans="2:18" x14ac:dyDescent="0.2">
      <c r="B626" s="172">
        <f t="shared" si="221"/>
        <v>621</v>
      </c>
      <c r="C626" s="142"/>
      <c r="D626" s="143"/>
      <c r="E626" s="170"/>
      <c r="F626" s="143" t="s">
        <v>218</v>
      </c>
      <c r="G626" s="201" t="s">
        <v>341</v>
      </c>
      <c r="H626" s="403">
        <f>SUM(H627:H630)</f>
        <v>13787</v>
      </c>
      <c r="I626" s="403">
        <f>SUM(I627:I630)</f>
        <v>14778</v>
      </c>
      <c r="J626" s="996">
        <f t="shared" si="229"/>
        <v>107.18793065931675</v>
      </c>
      <c r="K626" s="336"/>
      <c r="L626" s="439"/>
      <c r="M626" s="439"/>
      <c r="N626" s="1040"/>
      <c r="O626" s="336"/>
      <c r="P626" s="575">
        <f t="shared" si="212"/>
        <v>13787</v>
      </c>
      <c r="Q626" s="575">
        <f t="shared" si="217"/>
        <v>14778</v>
      </c>
      <c r="R626" s="1001">
        <f t="shared" si="230"/>
        <v>107.18793065931675</v>
      </c>
    </row>
    <row r="627" spans="2:18" x14ac:dyDescent="0.2">
      <c r="B627" s="172">
        <f t="shared" si="221"/>
        <v>622</v>
      </c>
      <c r="C627" s="142"/>
      <c r="D627" s="143"/>
      <c r="E627" s="170"/>
      <c r="F627" s="127" t="s">
        <v>199</v>
      </c>
      <c r="G627" s="193" t="s">
        <v>319</v>
      </c>
      <c r="H627" s="446">
        <v>2736</v>
      </c>
      <c r="I627" s="446">
        <v>3035</v>
      </c>
      <c r="J627" s="979">
        <f t="shared" si="229"/>
        <v>110.92836257309942</v>
      </c>
      <c r="K627" s="336"/>
      <c r="L627" s="439"/>
      <c r="M627" s="439"/>
      <c r="N627" s="1040"/>
      <c r="O627" s="336"/>
      <c r="P627" s="169">
        <f t="shared" ref="P627:P675" si="232">H627+L627</f>
        <v>2736</v>
      </c>
      <c r="Q627" s="169">
        <f t="shared" si="217"/>
        <v>3035</v>
      </c>
      <c r="R627" s="986">
        <f t="shared" si="230"/>
        <v>110.92836257309942</v>
      </c>
    </row>
    <row r="628" spans="2:18" x14ac:dyDescent="0.2">
      <c r="B628" s="172">
        <f t="shared" si="221"/>
        <v>623</v>
      </c>
      <c r="C628" s="142"/>
      <c r="D628" s="143"/>
      <c r="E628" s="170"/>
      <c r="F628" s="127" t="s">
        <v>200</v>
      </c>
      <c r="G628" s="193" t="s">
        <v>247</v>
      </c>
      <c r="H628" s="446">
        <f>2295+3556</f>
        <v>5851</v>
      </c>
      <c r="I628" s="446">
        <v>6169</v>
      </c>
      <c r="J628" s="979">
        <f t="shared" si="229"/>
        <v>105.43496838147325</v>
      </c>
      <c r="K628" s="336"/>
      <c r="L628" s="439"/>
      <c r="M628" s="439"/>
      <c r="N628" s="1040"/>
      <c r="O628" s="336"/>
      <c r="P628" s="169">
        <f t="shared" si="232"/>
        <v>5851</v>
      </c>
      <c r="Q628" s="169">
        <f t="shared" si="217"/>
        <v>6169</v>
      </c>
      <c r="R628" s="986">
        <f t="shared" si="230"/>
        <v>105.43496838147325</v>
      </c>
    </row>
    <row r="629" spans="2:18" x14ac:dyDescent="0.2">
      <c r="B629" s="172">
        <f t="shared" si="221"/>
        <v>624</v>
      </c>
      <c r="C629" s="142"/>
      <c r="D629" s="143"/>
      <c r="E629" s="170"/>
      <c r="F629" s="292" t="s">
        <v>214</v>
      </c>
      <c r="G629" s="204" t="s">
        <v>261</v>
      </c>
      <c r="H629" s="446">
        <f>510+1690</f>
        <v>2200</v>
      </c>
      <c r="I629" s="446">
        <v>1557</v>
      </c>
      <c r="J629" s="979">
        <f t="shared" si="229"/>
        <v>70.77272727272728</v>
      </c>
      <c r="K629" s="336"/>
      <c r="L629" s="439"/>
      <c r="M629" s="439"/>
      <c r="N629" s="1040"/>
      <c r="O629" s="336"/>
      <c r="P629" s="169">
        <f t="shared" si="232"/>
        <v>2200</v>
      </c>
      <c r="Q629" s="169">
        <f t="shared" si="217"/>
        <v>1557</v>
      </c>
      <c r="R629" s="986">
        <f t="shared" si="230"/>
        <v>70.77272727272728</v>
      </c>
    </row>
    <row r="630" spans="2:18" x14ac:dyDescent="0.2">
      <c r="B630" s="172">
        <f t="shared" ref="B630:B659" si="233">B629+1</f>
        <v>625</v>
      </c>
      <c r="C630" s="142"/>
      <c r="D630" s="143"/>
      <c r="E630" s="170"/>
      <c r="F630" s="127" t="s">
        <v>216</v>
      </c>
      <c r="G630" s="193" t="s">
        <v>248</v>
      </c>
      <c r="H630" s="446">
        <f>3216-216</f>
        <v>3000</v>
      </c>
      <c r="I630" s="446">
        <v>4017</v>
      </c>
      <c r="J630" s="979">
        <f t="shared" si="229"/>
        <v>133.9</v>
      </c>
      <c r="K630" s="336"/>
      <c r="L630" s="439"/>
      <c r="M630" s="439"/>
      <c r="N630" s="1040"/>
      <c r="O630" s="336"/>
      <c r="P630" s="169">
        <f t="shared" si="232"/>
        <v>3000</v>
      </c>
      <c r="Q630" s="169">
        <f t="shared" si="217"/>
        <v>4017</v>
      </c>
      <c r="R630" s="986">
        <f t="shared" si="230"/>
        <v>133.9</v>
      </c>
    </row>
    <row r="631" spans="2:18" x14ac:dyDescent="0.2">
      <c r="B631" s="172">
        <f t="shared" si="233"/>
        <v>626</v>
      </c>
      <c r="C631" s="142"/>
      <c r="D631" s="143"/>
      <c r="E631" s="170"/>
      <c r="F631" s="143" t="s">
        <v>217</v>
      </c>
      <c r="G631" s="201" t="s">
        <v>372</v>
      </c>
      <c r="H631" s="403">
        <v>150</v>
      </c>
      <c r="I631" s="403">
        <v>191</v>
      </c>
      <c r="J631" s="996">
        <f t="shared" si="229"/>
        <v>127.33333333333334</v>
      </c>
      <c r="K631" s="336"/>
      <c r="L631" s="439"/>
      <c r="M631" s="439"/>
      <c r="N631" s="1040"/>
      <c r="O631" s="336"/>
      <c r="P631" s="575">
        <f t="shared" si="232"/>
        <v>150</v>
      </c>
      <c r="Q631" s="575">
        <f t="shared" si="217"/>
        <v>191</v>
      </c>
      <c r="R631" s="1001">
        <f t="shared" si="230"/>
        <v>127.33333333333334</v>
      </c>
    </row>
    <row r="632" spans="2:18" ht="15" x14ac:dyDescent="0.25">
      <c r="B632" s="172">
        <f t="shared" si="233"/>
        <v>627</v>
      </c>
      <c r="C632" s="142"/>
      <c r="D632" s="263" t="s">
        <v>365</v>
      </c>
      <c r="E632" s="270"/>
      <c r="F632" s="267" t="s">
        <v>379</v>
      </c>
      <c r="G632" s="268"/>
      <c r="H632" s="427">
        <f>H633+H641</f>
        <v>79246</v>
      </c>
      <c r="I632" s="427">
        <f>I633+I641</f>
        <v>79246</v>
      </c>
      <c r="J632" s="965">
        <f t="shared" si="229"/>
        <v>100</v>
      </c>
      <c r="K632" s="335"/>
      <c r="L632" s="529"/>
      <c r="M632" s="529"/>
      <c r="N632" s="1040"/>
      <c r="O632" s="335"/>
      <c r="P632" s="344">
        <f t="shared" si="232"/>
        <v>79246</v>
      </c>
      <c r="Q632" s="344">
        <f t="shared" si="217"/>
        <v>79246</v>
      </c>
      <c r="R632" s="1001">
        <f t="shared" si="230"/>
        <v>100</v>
      </c>
    </row>
    <row r="633" spans="2:18" ht="14.25" x14ac:dyDescent="0.2">
      <c r="B633" s="172">
        <f t="shared" si="233"/>
        <v>628</v>
      </c>
      <c r="C633" s="74"/>
      <c r="D633" s="558"/>
      <c r="E633" s="565" t="s">
        <v>688</v>
      </c>
      <c r="F633" s="562" t="s">
        <v>691</v>
      </c>
      <c r="G633" s="561"/>
      <c r="H633" s="563">
        <f>H634+H635+H636</f>
        <v>32292</v>
      </c>
      <c r="I633" s="563">
        <f>I634+I635+I636</f>
        <v>32292</v>
      </c>
      <c r="J633" s="995">
        <f t="shared" si="229"/>
        <v>100</v>
      </c>
      <c r="K633" s="334"/>
      <c r="L633" s="560"/>
      <c r="M633" s="560"/>
      <c r="N633" s="1037"/>
      <c r="O633" s="334"/>
      <c r="P633" s="564">
        <f t="shared" si="232"/>
        <v>32292</v>
      </c>
      <c r="Q633" s="564">
        <f t="shared" si="217"/>
        <v>32292</v>
      </c>
      <c r="R633" s="1001">
        <f t="shared" si="230"/>
        <v>100</v>
      </c>
    </row>
    <row r="634" spans="2:18" ht="12" customHeight="1" x14ac:dyDescent="0.2">
      <c r="B634" s="172">
        <f t="shared" si="233"/>
        <v>629</v>
      </c>
      <c r="C634" s="142"/>
      <c r="D634" s="143"/>
      <c r="E634" s="127"/>
      <c r="F634" s="143" t="s">
        <v>211</v>
      </c>
      <c r="G634" s="201" t="s">
        <v>506</v>
      </c>
      <c r="H634" s="573">
        <f>19145+957</f>
        <v>20102</v>
      </c>
      <c r="I634" s="573">
        <v>20102</v>
      </c>
      <c r="J634" s="965">
        <f t="shared" si="229"/>
        <v>100</v>
      </c>
      <c r="K634" s="336"/>
      <c r="L634" s="439"/>
      <c r="M634" s="439"/>
      <c r="N634" s="1040"/>
      <c r="O634" s="336"/>
      <c r="P634" s="575">
        <f t="shared" si="232"/>
        <v>20102</v>
      </c>
      <c r="Q634" s="575">
        <f t="shared" si="217"/>
        <v>20102</v>
      </c>
      <c r="R634" s="1001">
        <f t="shared" si="230"/>
        <v>100</v>
      </c>
    </row>
    <row r="635" spans="2:18" ht="12" customHeight="1" x14ac:dyDescent="0.2">
      <c r="B635" s="172">
        <f t="shared" si="233"/>
        <v>630</v>
      </c>
      <c r="C635" s="142"/>
      <c r="D635" s="143"/>
      <c r="E635" s="127"/>
      <c r="F635" s="143" t="s">
        <v>212</v>
      </c>
      <c r="G635" s="201" t="s">
        <v>259</v>
      </c>
      <c r="H635" s="573">
        <f>7105+355</f>
        <v>7460</v>
      </c>
      <c r="I635" s="573">
        <v>7460</v>
      </c>
      <c r="J635" s="965">
        <f t="shared" si="229"/>
        <v>100</v>
      </c>
      <c r="K635" s="336"/>
      <c r="L635" s="439"/>
      <c r="M635" s="439"/>
      <c r="N635" s="1040"/>
      <c r="O635" s="336"/>
      <c r="P635" s="167">
        <f t="shared" si="232"/>
        <v>7460</v>
      </c>
      <c r="Q635" s="167">
        <f t="shared" si="217"/>
        <v>7460</v>
      </c>
      <c r="R635" s="982">
        <f t="shared" si="230"/>
        <v>100</v>
      </c>
    </row>
    <row r="636" spans="2:18" ht="12" customHeight="1" x14ac:dyDescent="0.2">
      <c r="B636" s="172">
        <f t="shared" si="233"/>
        <v>631</v>
      </c>
      <c r="C636" s="142"/>
      <c r="D636" s="143"/>
      <c r="E636" s="127"/>
      <c r="F636" s="143" t="s">
        <v>218</v>
      </c>
      <c r="G636" s="201" t="s">
        <v>341</v>
      </c>
      <c r="H636" s="573">
        <f>SUM(H637:H640)</f>
        <v>4730</v>
      </c>
      <c r="I636" s="573">
        <f t="shared" ref="I636" si="234">SUM(I637:I640)</f>
        <v>4730</v>
      </c>
      <c r="J636" s="965">
        <f t="shared" si="229"/>
        <v>100</v>
      </c>
      <c r="K636" s="336"/>
      <c r="L636" s="439"/>
      <c r="M636" s="439"/>
      <c r="N636" s="1040"/>
      <c r="O636" s="336"/>
      <c r="P636" s="167">
        <f t="shared" si="232"/>
        <v>4730</v>
      </c>
      <c r="Q636" s="167">
        <f t="shared" si="217"/>
        <v>4730</v>
      </c>
      <c r="R636" s="982">
        <f t="shared" si="230"/>
        <v>100</v>
      </c>
    </row>
    <row r="637" spans="2:18" ht="12" customHeight="1" x14ac:dyDescent="0.2">
      <c r="B637" s="172">
        <f t="shared" si="233"/>
        <v>632</v>
      </c>
      <c r="C637" s="142"/>
      <c r="D637" s="143"/>
      <c r="E637" s="127"/>
      <c r="F637" s="127" t="s">
        <v>199</v>
      </c>
      <c r="G637" s="193" t="s">
        <v>319</v>
      </c>
      <c r="H637" s="399">
        <v>1290</v>
      </c>
      <c r="I637" s="399">
        <v>1290</v>
      </c>
      <c r="J637" s="966">
        <f t="shared" si="229"/>
        <v>100</v>
      </c>
      <c r="K637" s="336"/>
      <c r="L637" s="439"/>
      <c r="M637" s="439"/>
      <c r="N637" s="1040"/>
      <c r="O637" s="336"/>
      <c r="P637" s="168">
        <f t="shared" si="232"/>
        <v>1290</v>
      </c>
      <c r="Q637" s="168">
        <f t="shared" si="217"/>
        <v>1290</v>
      </c>
      <c r="R637" s="983">
        <f t="shared" si="230"/>
        <v>100</v>
      </c>
    </row>
    <row r="638" spans="2:18" ht="12" customHeight="1" x14ac:dyDescent="0.2">
      <c r="B638" s="172">
        <f t="shared" si="233"/>
        <v>633</v>
      </c>
      <c r="C638" s="142"/>
      <c r="D638" s="143"/>
      <c r="E638" s="127"/>
      <c r="F638" s="127" t="s">
        <v>200</v>
      </c>
      <c r="G638" s="193" t="s">
        <v>247</v>
      </c>
      <c r="H638" s="399">
        <v>1290</v>
      </c>
      <c r="I638" s="399">
        <v>1290</v>
      </c>
      <c r="J638" s="966">
        <f t="shared" si="229"/>
        <v>100</v>
      </c>
      <c r="K638" s="336"/>
      <c r="L638" s="439"/>
      <c r="M638" s="439"/>
      <c r="N638" s="1040"/>
      <c r="O638" s="336"/>
      <c r="P638" s="168">
        <f t="shared" si="232"/>
        <v>1290</v>
      </c>
      <c r="Q638" s="168">
        <f t="shared" si="217"/>
        <v>1290</v>
      </c>
      <c r="R638" s="983">
        <f t="shared" si="230"/>
        <v>100</v>
      </c>
    </row>
    <row r="639" spans="2:18" ht="12" customHeight="1" x14ac:dyDescent="0.2">
      <c r="B639" s="172">
        <f t="shared" si="233"/>
        <v>634</v>
      </c>
      <c r="C639" s="142"/>
      <c r="D639" s="143"/>
      <c r="E639" s="127"/>
      <c r="F639" s="127" t="s">
        <v>214</v>
      </c>
      <c r="G639" s="193" t="s">
        <v>261</v>
      </c>
      <c r="H639" s="399">
        <v>645</v>
      </c>
      <c r="I639" s="399">
        <v>645</v>
      </c>
      <c r="J639" s="966">
        <f t="shared" si="229"/>
        <v>100</v>
      </c>
      <c r="K639" s="336"/>
      <c r="L639" s="400"/>
      <c r="M639" s="400"/>
      <c r="N639" s="1035"/>
      <c r="O639" s="336"/>
      <c r="P639" s="168">
        <f t="shared" si="232"/>
        <v>645</v>
      </c>
      <c r="Q639" s="168">
        <f t="shared" si="217"/>
        <v>645</v>
      </c>
      <c r="R639" s="983">
        <f t="shared" si="230"/>
        <v>100</v>
      </c>
    </row>
    <row r="640" spans="2:18" ht="12" customHeight="1" x14ac:dyDescent="0.2">
      <c r="B640" s="172">
        <f t="shared" si="233"/>
        <v>635</v>
      </c>
      <c r="C640" s="142"/>
      <c r="D640" s="143"/>
      <c r="E640" s="127"/>
      <c r="F640" s="127" t="s">
        <v>216</v>
      </c>
      <c r="G640" s="193" t="s">
        <v>248</v>
      </c>
      <c r="H640" s="399">
        <v>1505</v>
      </c>
      <c r="I640" s="399">
        <v>1505</v>
      </c>
      <c r="J640" s="966">
        <f t="shared" si="229"/>
        <v>100</v>
      </c>
      <c r="K640" s="336"/>
      <c r="L640" s="400"/>
      <c r="M640" s="400"/>
      <c r="N640" s="1035"/>
      <c r="O640" s="336"/>
      <c r="P640" s="168">
        <f t="shared" si="232"/>
        <v>1505</v>
      </c>
      <c r="Q640" s="168">
        <f t="shared" si="217"/>
        <v>1505</v>
      </c>
      <c r="R640" s="983">
        <f t="shared" si="230"/>
        <v>100</v>
      </c>
    </row>
    <row r="641" spans="2:18" ht="14.25" x14ac:dyDescent="0.2">
      <c r="B641" s="172">
        <f t="shared" si="233"/>
        <v>636</v>
      </c>
      <c r="C641" s="74"/>
      <c r="D641" s="558"/>
      <c r="E641" s="565" t="s">
        <v>689</v>
      </c>
      <c r="F641" s="562" t="s">
        <v>690</v>
      </c>
      <c r="G641" s="561"/>
      <c r="H641" s="567">
        <f>H642+H643+H644</f>
        <v>46954</v>
      </c>
      <c r="I641" s="567">
        <f>I642+I643+I644</f>
        <v>46954</v>
      </c>
      <c r="J641" s="965">
        <f t="shared" si="229"/>
        <v>100</v>
      </c>
      <c r="K641" s="334"/>
      <c r="L641" s="560"/>
      <c r="M641" s="560"/>
      <c r="N641" s="1037"/>
      <c r="O641" s="334"/>
      <c r="P641" s="564">
        <f t="shared" si="232"/>
        <v>46954</v>
      </c>
      <c r="Q641" s="564">
        <f t="shared" ref="Q641:Q702" si="235">I641+M641</f>
        <v>46954</v>
      </c>
      <c r="R641" s="1001">
        <f t="shared" si="230"/>
        <v>100</v>
      </c>
    </row>
    <row r="642" spans="2:18" x14ac:dyDescent="0.2">
      <c r="B642" s="172">
        <f t="shared" si="233"/>
        <v>637</v>
      </c>
      <c r="C642" s="142"/>
      <c r="D642" s="143"/>
      <c r="E642" s="170"/>
      <c r="F642" s="143" t="s">
        <v>211</v>
      </c>
      <c r="G642" s="201" t="s">
        <v>506</v>
      </c>
      <c r="H642" s="573">
        <f>25378+1269-740</f>
        <v>25907</v>
      </c>
      <c r="I642" s="573">
        <v>25907</v>
      </c>
      <c r="J642" s="965">
        <f t="shared" si="229"/>
        <v>100</v>
      </c>
      <c r="K642" s="336"/>
      <c r="L642" s="439"/>
      <c r="M642" s="439"/>
      <c r="N642" s="1040"/>
      <c r="O642" s="336"/>
      <c r="P642" s="575">
        <f t="shared" si="232"/>
        <v>25907</v>
      </c>
      <c r="Q642" s="575">
        <f t="shared" si="235"/>
        <v>25907</v>
      </c>
      <c r="R642" s="1001">
        <f t="shared" si="230"/>
        <v>100</v>
      </c>
    </row>
    <row r="643" spans="2:18" x14ac:dyDescent="0.2">
      <c r="B643" s="172">
        <f t="shared" si="233"/>
        <v>638</v>
      </c>
      <c r="C643" s="142"/>
      <c r="D643" s="143"/>
      <c r="E643" s="170"/>
      <c r="F643" s="143" t="s">
        <v>212</v>
      </c>
      <c r="G643" s="201" t="s">
        <v>259</v>
      </c>
      <c r="H643" s="573">
        <f>9418+471-260</f>
        <v>9629</v>
      </c>
      <c r="I643" s="573">
        <v>9629</v>
      </c>
      <c r="J643" s="965">
        <f t="shared" si="229"/>
        <v>100</v>
      </c>
      <c r="K643" s="336"/>
      <c r="L643" s="439"/>
      <c r="M643" s="439"/>
      <c r="N643" s="1040"/>
      <c r="O643" s="336"/>
      <c r="P643" s="575">
        <f t="shared" si="232"/>
        <v>9629</v>
      </c>
      <c r="Q643" s="575">
        <f t="shared" si="235"/>
        <v>9629</v>
      </c>
      <c r="R643" s="1001">
        <f t="shared" si="230"/>
        <v>100</v>
      </c>
    </row>
    <row r="644" spans="2:18" x14ac:dyDescent="0.2">
      <c r="B644" s="172">
        <f t="shared" si="233"/>
        <v>639</v>
      </c>
      <c r="C644" s="142"/>
      <c r="D644" s="143"/>
      <c r="E644" s="170"/>
      <c r="F644" s="143" t="s">
        <v>218</v>
      </c>
      <c r="G644" s="201" t="s">
        <v>341</v>
      </c>
      <c r="H644" s="573">
        <f>SUM(H645:H648)</f>
        <v>11418</v>
      </c>
      <c r="I644" s="573">
        <f t="shared" ref="I644" si="236">SUM(I645:I648)</f>
        <v>11418</v>
      </c>
      <c r="J644" s="965">
        <f t="shared" si="229"/>
        <v>100</v>
      </c>
      <c r="K644" s="336"/>
      <c r="L644" s="439"/>
      <c r="M644" s="439"/>
      <c r="N644" s="1040"/>
      <c r="O644" s="336"/>
      <c r="P644" s="575">
        <f t="shared" si="232"/>
        <v>11418</v>
      </c>
      <c r="Q644" s="575">
        <f t="shared" si="235"/>
        <v>11418</v>
      </c>
      <c r="R644" s="1001">
        <f t="shared" si="230"/>
        <v>100</v>
      </c>
    </row>
    <row r="645" spans="2:18" x14ac:dyDescent="0.2">
      <c r="B645" s="172">
        <f t="shared" si="233"/>
        <v>640</v>
      </c>
      <c r="C645" s="142"/>
      <c r="D645" s="143"/>
      <c r="E645" s="170"/>
      <c r="F645" s="127" t="s">
        <v>199</v>
      </c>
      <c r="G645" s="193" t="s">
        <v>319</v>
      </c>
      <c r="H645" s="446">
        <v>1710</v>
      </c>
      <c r="I645" s="446">
        <v>1710</v>
      </c>
      <c r="J645" s="979">
        <f t="shared" si="229"/>
        <v>100</v>
      </c>
      <c r="K645" s="336"/>
      <c r="L645" s="439"/>
      <c r="M645" s="439"/>
      <c r="N645" s="1040"/>
      <c r="O645" s="336"/>
      <c r="P645" s="169">
        <f t="shared" si="232"/>
        <v>1710</v>
      </c>
      <c r="Q645" s="169">
        <f t="shared" si="235"/>
        <v>1710</v>
      </c>
      <c r="R645" s="986">
        <f t="shared" si="230"/>
        <v>100</v>
      </c>
    </row>
    <row r="646" spans="2:18" x14ac:dyDescent="0.2">
      <c r="B646" s="172">
        <f t="shared" si="233"/>
        <v>641</v>
      </c>
      <c r="C646" s="142"/>
      <c r="D646" s="143"/>
      <c r="E646" s="170"/>
      <c r="F646" s="127" t="s">
        <v>200</v>
      </c>
      <c r="G646" s="193" t="s">
        <v>247</v>
      </c>
      <c r="H646" s="446">
        <f>1710+1740+3408</f>
        <v>6858</v>
      </c>
      <c r="I646" s="446">
        <v>6858</v>
      </c>
      <c r="J646" s="979">
        <f t="shared" si="229"/>
        <v>100</v>
      </c>
      <c r="K646" s="336"/>
      <c r="L646" s="439"/>
      <c r="M646" s="439"/>
      <c r="N646" s="1040"/>
      <c r="O646" s="336"/>
      <c r="P646" s="169">
        <f t="shared" si="232"/>
        <v>6858</v>
      </c>
      <c r="Q646" s="169">
        <f t="shared" si="235"/>
        <v>6858</v>
      </c>
      <c r="R646" s="986">
        <f t="shared" si="230"/>
        <v>100</v>
      </c>
    </row>
    <row r="647" spans="2:18" x14ac:dyDescent="0.2">
      <c r="B647" s="172">
        <f t="shared" si="233"/>
        <v>642</v>
      </c>
      <c r="C647" s="142"/>
      <c r="D647" s="143"/>
      <c r="E647" s="170"/>
      <c r="F647" s="292" t="s">
        <v>214</v>
      </c>
      <c r="G647" s="204" t="s">
        <v>261</v>
      </c>
      <c r="H647" s="446">
        <v>855</v>
      </c>
      <c r="I647" s="446">
        <v>855</v>
      </c>
      <c r="J647" s="979">
        <f t="shared" si="229"/>
        <v>100</v>
      </c>
      <c r="K647" s="336"/>
      <c r="L647" s="439"/>
      <c r="M647" s="439"/>
      <c r="N647" s="1040"/>
      <c r="O647" s="336"/>
      <c r="P647" s="169">
        <f t="shared" si="232"/>
        <v>855</v>
      </c>
      <c r="Q647" s="169">
        <f t="shared" si="235"/>
        <v>855</v>
      </c>
      <c r="R647" s="986">
        <f t="shared" si="230"/>
        <v>100</v>
      </c>
    </row>
    <row r="648" spans="2:18" x14ac:dyDescent="0.2">
      <c r="B648" s="172">
        <f t="shared" si="233"/>
        <v>643</v>
      </c>
      <c r="C648" s="142"/>
      <c r="D648" s="143"/>
      <c r="E648" s="170"/>
      <c r="F648" s="127" t="s">
        <v>216</v>
      </c>
      <c r="G648" s="193" t="s">
        <v>248</v>
      </c>
      <c r="H648" s="446">
        <v>1995</v>
      </c>
      <c r="I648" s="446">
        <v>1995</v>
      </c>
      <c r="J648" s="979">
        <f t="shared" si="229"/>
        <v>100</v>
      </c>
      <c r="K648" s="336"/>
      <c r="L648" s="439"/>
      <c r="M648" s="439"/>
      <c r="N648" s="1040"/>
      <c r="O648" s="336"/>
      <c r="P648" s="169">
        <f t="shared" si="232"/>
        <v>1995</v>
      </c>
      <c r="Q648" s="169">
        <f t="shared" si="235"/>
        <v>1995</v>
      </c>
      <c r="R648" s="986">
        <f t="shared" si="230"/>
        <v>100</v>
      </c>
    </row>
    <row r="649" spans="2:18" ht="15" x14ac:dyDescent="0.25">
      <c r="B649" s="172">
        <f t="shared" si="233"/>
        <v>644</v>
      </c>
      <c r="C649" s="142"/>
      <c r="D649" s="263" t="s">
        <v>469</v>
      </c>
      <c r="E649" s="176"/>
      <c r="F649" s="147" t="s">
        <v>380</v>
      </c>
      <c r="G649" s="238"/>
      <c r="H649" s="427">
        <f>H650+H661</f>
        <v>82893</v>
      </c>
      <c r="I649" s="427">
        <f t="shared" ref="I649" si="237">I650+I661</f>
        <v>82893</v>
      </c>
      <c r="J649" s="965">
        <f t="shared" si="229"/>
        <v>100</v>
      </c>
      <c r="K649" s="335"/>
      <c r="L649" s="432">
        <f>L660</f>
        <v>15000</v>
      </c>
      <c r="M649" s="432">
        <f t="shared" ref="M649" si="238">M660</f>
        <v>15000</v>
      </c>
      <c r="N649" s="1035">
        <f t="shared" si="231"/>
        <v>100</v>
      </c>
      <c r="O649" s="335"/>
      <c r="P649" s="331">
        <f t="shared" si="232"/>
        <v>97893</v>
      </c>
      <c r="Q649" s="331">
        <f t="shared" si="235"/>
        <v>97893</v>
      </c>
      <c r="R649" s="982">
        <f t="shared" si="230"/>
        <v>100</v>
      </c>
    </row>
    <row r="650" spans="2:18" ht="14.25" x14ac:dyDescent="0.2">
      <c r="B650" s="172">
        <f t="shared" si="233"/>
        <v>645</v>
      </c>
      <c r="C650" s="74"/>
      <c r="D650" s="558"/>
      <c r="E650" s="565" t="s">
        <v>688</v>
      </c>
      <c r="F650" s="562" t="s">
        <v>691</v>
      </c>
      <c r="G650" s="561"/>
      <c r="H650" s="563">
        <f>H651+H652+H653+H659</f>
        <v>37282</v>
      </c>
      <c r="I650" s="563">
        <f t="shared" ref="I650" si="239">I651+I652+I653+I659</f>
        <v>37617</v>
      </c>
      <c r="J650" s="995">
        <f t="shared" si="229"/>
        <v>100.89855694436993</v>
      </c>
      <c r="K650" s="334"/>
      <c r="L650" s="560"/>
      <c r="M650" s="560"/>
      <c r="N650" s="1037"/>
      <c r="O650" s="334"/>
      <c r="P650" s="564">
        <f t="shared" si="232"/>
        <v>37282</v>
      </c>
      <c r="Q650" s="564">
        <f t="shared" si="235"/>
        <v>37617</v>
      </c>
      <c r="R650" s="1001">
        <f t="shared" si="230"/>
        <v>100.89855694436993</v>
      </c>
    </row>
    <row r="651" spans="2:18" ht="12" customHeight="1" x14ac:dyDescent="0.2">
      <c r="B651" s="172">
        <f t="shared" si="233"/>
        <v>646</v>
      </c>
      <c r="C651" s="142"/>
      <c r="D651" s="143"/>
      <c r="E651" s="127"/>
      <c r="F651" s="143" t="s">
        <v>211</v>
      </c>
      <c r="G651" s="201" t="s">
        <v>506</v>
      </c>
      <c r="H651" s="573">
        <f>21010+1051</f>
        <v>22061</v>
      </c>
      <c r="I651" s="573">
        <v>21955</v>
      </c>
      <c r="J651" s="965">
        <f t="shared" si="229"/>
        <v>99.519514074611308</v>
      </c>
      <c r="K651" s="336"/>
      <c r="L651" s="400"/>
      <c r="M651" s="400"/>
      <c r="N651" s="1035"/>
      <c r="O651" s="336"/>
      <c r="P651" s="167">
        <f t="shared" si="232"/>
        <v>22061</v>
      </c>
      <c r="Q651" s="167">
        <f t="shared" si="235"/>
        <v>21955</v>
      </c>
      <c r="R651" s="982">
        <f t="shared" si="230"/>
        <v>99.519514074611308</v>
      </c>
    </row>
    <row r="652" spans="2:18" ht="12" customHeight="1" x14ac:dyDescent="0.2">
      <c r="B652" s="172">
        <f t="shared" si="233"/>
        <v>647</v>
      </c>
      <c r="C652" s="142"/>
      <c r="D652" s="143"/>
      <c r="E652" s="127"/>
      <c r="F652" s="143" t="s">
        <v>212</v>
      </c>
      <c r="G652" s="201" t="s">
        <v>259</v>
      </c>
      <c r="H652" s="573">
        <f>7920+396</f>
        <v>8316</v>
      </c>
      <c r="I652" s="573">
        <v>7639</v>
      </c>
      <c r="J652" s="965">
        <f t="shared" si="229"/>
        <v>91.859066859066857</v>
      </c>
      <c r="K652" s="336"/>
      <c r="L652" s="400"/>
      <c r="M652" s="400"/>
      <c r="N652" s="1035"/>
      <c r="O652" s="336"/>
      <c r="P652" s="167">
        <f t="shared" si="232"/>
        <v>8316</v>
      </c>
      <c r="Q652" s="167">
        <f t="shared" si="235"/>
        <v>7639</v>
      </c>
      <c r="R652" s="982">
        <f t="shared" si="230"/>
        <v>91.859066859066857</v>
      </c>
    </row>
    <row r="653" spans="2:18" ht="12" customHeight="1" x14ac:dyDescent="0.2">
      <c r="B653" s="172">
        <f t="shared" si="233"/>
        <v>648</v>
      </c>
      <c r="C653" s="142"/>
      <c r="D653" s="143"/>
      <c r="E653" s="127"/>
      <c r="F653" s="143" t="s">
        <v>218</v>
      </c>
      <c r="G653" s="201" t="s">
        <v>341</v>
      </c>
      <c r="H653" s="573">
        <f>SUM(H654:H658)</f>
        <v>6435</v>
      </c>
      <c r="I653" s="573">
        <f t="shared" ref="I653" si="240">SUM(I654:I658)</f>
        <v>7560</v>
      </c>
      <c r="J653" s="965">
        <f t="shared" si="229"/>
        <v>117.48251748251748</v>
      </c>
      <c r="K653" s="336"/>
      <c r="L653" s="400"/>
      <c r="M653" s="400"/>
      <c r="N653" s="1035"/>
      <c r="O653" s="336"/>
      <c r="P653" s="167">
        <f t="shared" si="232"/>
        <v>6435</v>
      </c>
      <c r="Q653" s="167">
        <f t="shared" si="235"/>
        <v>7560</v>
      </c>
      <c r="R653" s="982">
        <f t="shared" si="230"/>
        <v>117.48251748251748</v>
      </c>
    </row>
    <row r="654" spans="2:18" ht="12" customHeight="1" x14ac:dyDescent="0.2">
      <c r="B654" s="172">
        <f t="shared" si="233"/>
        <v>649</v>
      </c>
      <c r="C654" s="142"/>
      <c r="D654" s="143"/>
      <c r="E654" s="127"/>
      <c r="F654" s="127" t="s">
        <v>213</v>
      </c>
      <c r="G654" s="193" t="s">
        <v>255</v>
      </c>
      <c r="H654" s="399">
        <v>20</v>
      </c>
      <c r="I654" s="399">
        <v>0</v>
      </c>
      <c r="J654" s="966">
        <f t="shared" si="229"/>
        <v>0</v>
      </c>
      <c r="K654" s="336"/>
      <c r="L654" s="400"/>
      <c r="M654" s="400"/>
      <c r="N654" s="1035"/>
      <c r="O654" s="336"/>
      <c r="P654" s="168">
        <f t="shared" si="232"/>
        <v>20</v>
      </c>
      <c r="Q654" s="168">
        <f t="shared" si="235"/>
        <v>0</v>
      </c>
      <c r="R654" s="983">
        <f t="shared" si="230"/>
        <v>0</v>
      </c>
    </row>
    <row r="655" spans="2:18" ht="12" customHeight="1" x14ac:dyDescent="0.2">
      <c r="B655" s="172">
        <f t="shared" si="233"/>
        <v>650</v>
      </c>
      <c r="C655" s="142"/>
      <c r="D655" s="143"/>
      <c r="E655" s="127"/>
      <c r="F655" s="127" t="s">
        <v>199</v>
      </c>
      <c r="G655" s="193" t="s">
        <v>319</v>
      </c>
      <c r="H655" s="399">
        <f>3195+500</f>
        <v>3695</v>
      </c>
      <c r="I655" s="399">
        <v>3546</v>
      </c>
      <c r="J655" s="966">
        <f t="shared" si="229"/>
        <v>95.967523680649521</v>
      </c>
      <c r="K655" s="336"/>
      <c r="L655" s="400"/>
      <c r="M655" s="400"/>
      <c r="N655" s="1035"/>
      <c r="O655" s="336"/>
      <c r="P655" s="168">
        <f t="shared" si="232"/>
        <v>3695</v>
      </c>
      <c r="Q655" s="168">
        <f t="shared" si="235"/>
        <v>3546</v>
      </c>
      <c r="R655" s="983">
        <f t="shared" si="230"/>
        <v>95.967523680649521</v>
      </c>
    </row>
    <row r="656" spans="2:18" ht="12" customHeight="1" x14ac:dyDescent="0.2">
      <c r="B656" s="172">
        <f t="shared" si="233"/>
        <v>651</v>
      </c>
      <c r="C656" s="142"/>
      <c r="D656" s="143"/>
      <c r="E656" s="127"/>
      <c r="F656" s="127" t="s">
        <v>200</v>
      </c>
      <c r="G656" s="193" t="s">
        <v>247</v>
      </c>
      <c r="H656" s="399">
        <v>1215</v>
      </c>
      <c r="I656" s="399">
        <v>1437</v>
      </c>
      <c r="J656" s="966">
        <f t="shared" si="229"/>
        <v>118.27160493827161</v>
      </c>
      <c r="K656" s="336"/>
      <c r="L656" s="400"/>
      <c r="M656" s="400"/>
      <c r="N656" s="1035"/>
      <c r="O656" s="336"/>
      <c r="P656" s="168">
        <f t="shared" si="232"/>
        <v>1215</v>
      </c>
      <c r="Q656" s="168">
        <f t="shared" si="235"/>
        <v>1437</v>
      </c>
      <c r="R656" s="983">
        <f t="shared" si="230"/>
        <v>118.27160493827161</v>
      </c>
    </row>
    <row r="657" spans="2:18" ht="12" customHeight="1" x14ac:dyDescent="0.2">
      <c r="B657" s="172">
        <f t="shared" si="233"/>
        <v>652</v>
      </c>
      <c r="C657" s="142"/>
      <c r="D657" s="143"/>
      <c r="E657" s="127"/>
      <c r="F657" s="127" t="s">
        <v>214</v>
      </c>
      <c r="G657" s="193" t="s">
        <v>261</v>
      </c>
      <c r="H657" s="399">
        <f>1170-300</f>
        <v>870</v>
      </c>
      <c r="I657" s="399">
        <v>1957</v>
      </c>
      <c r="J657" s="966">
        <f t="shared" si="229"/>
        <v>224.94252873563218</v>
      </c>
      <c r="K657" s="336"/>
      <c r="L657" s="400"/>
      <c r="M657" s="400"/>
      <c r="N657" s="1035"/>
      <c r="O657" s="336"/>
      <c r="P657" s="168">
        <f t="shared" si="232"/>
        <v>870</v>
      </c>
      <c r="Q657" s="168">
        <f t="shared" si="235"/>
        <v>1957</v>
      </c>
      <c r="R657" s="983">
        <f t="shared" si="230"/>
        <v>224.94252873563218</v>
      </c>
    </row>
    <row r="658" spans="2:18" ht="12" customHeight="1" x14ac:dyDescent="0.2">
      <c r="B658" s="172">
        <f t="shared" si="233"/>
        <v>653</v>
      </c>
      <c r="C658" s="142"/>
      <c r="D658" s="143"/>
      <c r="E658" s="127"/>
      <c r="F658" s="127" t="s">
        <v>216</v>
      </c>
      <c r="G658" s="193" t="s">
        <v>248</v>
      </c>
      <c r="H658" s="399">
        <f>835-200</f>
        <v>635</v>
      </c>
      <c r="I658" s="399">
        <v>620</v>
      </c>
      <c r="J658" s="966">
        <f t="shared" si="229"/>
        <v>97.637795275590548</v>
      </c>
      <c r="K658" s="336"/>
      <c r="L658" s="400"/>
      <c r="M658" s="400"/>
      <c r="N658" s="1035"/>
      <c r="O658" s="336"/>
      <c r="P658" s="168">
        <f t="shared" si="232"/>
        <v>635</v>
      </c>
      <c r="Q658" s="168">
        <f t="shared" si="235"/>
        <v>620</v>
      </c>
      <c r="R658" s="983">
        <f t="shared" si="230"/>
        <v>97.637795275590548</v>
      </c>
    </row>
    <row r="659" spans="2:18" x14ac:dyDescent="0.2">
      <c r="B659" s="172">
        <f t="shared" si="233"/>
        <v>654</v>
      </c>
      <c r="C659" s="142"/>
      <c r="D659" s="143"/>
      <c r="E659" s="127"/>
      <c r="F659" s="143" t="s">
        <v>217</v>
      </c>
      <c r="G659" s="201" t="s">
        <v>505</v>
      </c>
      <c r="H659" s="573">
        <v>470</v>
      </c>
      <c r="I659" s="573">
        <v>463</v>
      </c>
      <c r="J659" s="965">
        <f t="shared" si="229"/>
        <v>98.510638297872347</v>
      </c>
      <c r="K659" s="336"/>
      <c r="L659" s="400"/>
      <c r="M659" s="400"/>
      <c r="N659" s="1035"/>
      <c r="O659" s="336"/>
      <c r="P659" s="167">
        <f t="shared" si="232"/>
        <v>470</v>
      </c>
      <c r="Q659" s="167">
        <f t="shared" si="235"/>
        <v>463</v>
      </c>
      <c r="R659" s="982">
        <f t="shared" si="230"/>
        <v>98.510638297872347</v>
      </c>
    </row>
    <row r="660" spans="2:18" x14ac:dyDescent="0.2">
      <c r="B660" s="172">
        <f t="shared" ref="B660:B692" si="241">B659+1</f>
        <v>655</v>
      </c>
      <c r="C660" s="142"/>
      <c r="D660" s="143"/>
      <c r="E660" s="170"/>
      <c r="F660" s="286" t="s">
        <v>607</v>
      </c>
      <c r="G660" s="201" t="s">
        <v>608</v>
      </c>
      <c r="H660" s="573"/>
      <c r="I660" s="573"/>
      <c r="J660" s="965"/>
      <c r="K660" s="336"/>
      <c r="L660" s="400">
        <f>16000-1000</f>
        <v>15000</v>
      </c>
      <c r="M660" s="400">
        <v>15000</v>
      </c>
      <c r="N660" s="1035">
        <f t="shared" si="231"/>
        <v>100</v>
      </c>
      <c r="O660" s="336"/>
      <c r="P660" s="167">
        <f t="shared" si="232"/>
        <v>15000</v>
      </c>
      <c r="Q660" s="167">
        <f t="shared" si="235"/>
        <v>15000</v>
      </c>
      <c r="R660" s="982">
        <f t="shared" si="230"/>
        <v>100</v>
      </c>
    </row>
    <row r="661" spans="2:18" ht="14.25" x14ac:dyDescent="0.2">
      <c r="B661" s="172">
        <f t="shared" si="241"/>
        <v>656</v>
      </c>
      <c r="C661" s="74"/>
      <c r="D661" s="558"/>
      <c r="E661" s="565" t="s">
        <v>689</v>
      </c>
      <c r="F661" s="562" t="s">
        <v>690</v>
      </c>
      <c r="G661" s="561"/>
      <c r="H661" s="567">
        <f>H662+H663+H664+H670</f>
        <v>45611</v>
      </c>
      <c r="I661" s="567">
        <f>I662+I663+I664+I670</f>
        <v>45276</v>
      </c>
      <c r="J661" s="965">
        <f t="shared" si="229"/>
        <v>99.265528052443486</v>
      </c>
      <c r="K661" s="334"/>
      <c r="L661" s="560"/>
      <c r="M661" s="560"/>
      <c r="N661" s="1037"/>
      <c r="O661" s="334"/>
      <c r="P661" s="564">
        <f t="shared" si="232"/>
        <v>45611</v>
      </c>
      <c r="Q661" s="564">
        <f t="shared" si="235"/>
        <v>45276</v>
      </c>
      <c r="R661" s="1001">
        <f t="shared" si="230"/>
        <v>99.265528052443486</v>
      </c>
    </row>
    <row r="662" spans="2:18" x14ac:dyDescent="0.2">
      <c r="B662" s="172">
        <f t="shared" si="241"/>
        <v>657</v>
      </c>
      <c r="C662" s="142"/>
      <c r="D662" s="143"/>
      <c r="E662" s="170"/>
      <c r="F662" s="143" t="s">
        <v>211</v>
      </c>
      <c r="G662" s="201" t="s">
        <v>506</v>
      </c>
      <c r="H662" s="573">
        <f>25745+1287</f>
        <v>27032</v>
      </c>
      <c r="I662" s="573">
        <v>26797</v>
      </c>
      <c r="J662" s="965">
        <f t="shared" si="229"/>
        <v>99.13065995856762</v>
      </c>
      <c r="K662" s="336"/>
      <c r="L662" s="439"/>
      <c r="M662" s="439"/>
      <c r="N662" s="1040"/>
      <c r="O662" s="336"/>
      <c r="P662" s="575">
        <f t="shared" si="232"/>
        <v>27032</v>
      </c>
      <c r="Q662" s="575">
        <f t="shared" si="235"/>
        <v>26797</v>
      </c>
      <c r="R662" s="1001">
        <f t="shared" si="230"/>
        <v>99.13065995856762</v>
      </c>
    </row>
    <row r="663" spans="2:18" x14ac:dyDescent="0.2">
      <c r="B663" s="172">
        <f t="shared" si="241"/>
        <v>658</v>
      </c>
      <c r="C663" s="142"/>
      <c r="D663" s="143"/>
      <c r="E663" s="170"/>
      <c r="F663" s="143" t="s">
        <v>212</v>
      </c>
      <c r="G663" s="201" t="s">
        <v>259</v>
      </c>
      <c r="H663" s="573">
        <f>9680+484</f>
        <v>10164</v>
      </c>
      <c r="I663" s="573">
        <v>8600</v>
      </c>
      <c r="J663" s="965">
        <f t="shared" si="229"/>
        <v>84.612357339630066</v>
      </c>
      <c r="K663" s="336"/>
      <c r="L663" s="439"/>
      <c r="M663" s="439"/>
      <c r="N663" s="1040"/>
      <c r="O663" s="336"/>
      <c r="P663" s="575">
        <f t="shared" si="232"/>
        <v>10164</v>
      </c>
      <c r="Q663" s="575">
        <f t="shared" si="235"/>
        <v>8600</v>
      </c>
      <c r="R663" s="1001">
        <f t="shared" si="230"/>
        <v>84.612357339630066</v>
      </c>
    </row>
    <row r="664" spans="2:18" x14ac:dyDescent="0.2">
      <c r="B664" s="172">
        <f t="shared" si="241"/>
        <v>659</v>
      </c>
      <c r="C664" s="142"/>
      <c r="D664" s="143"/>
      <c r="E664" s="170"/>
      <c r="F664" s="143" t="s">
        <v>218</v>
      </c>
      <c r="G664" s="201" t="s">
        <v>341</v>
      </c>
      <c r="H664" s="573">
        <f>SUM(H665:H669)</f>
        <v>7835</v>
      </c>
      <c r="I664" s="573">
        <f>SUM(I665:I669)</f>
        <v>9360</v>
      </c>
      <c r="J664" s="965">
        <f t="shared" si="229"/>
        <v>119.4639438417358</v>
      </c>
      <c r="K664" s="336"/>
      <c r="L664" s="439"/>
      <c r="M664" s="439"/>
      <c r="N664" s="1040"/>
      <c r="O664" s="336"/>
      <c r="P664" s="575">
        <f t="shared" si="232"/>
        <v>7835</v>
      </c>
      <c r="Q664" s="575">
        <f t="shared" si="235"/>
        <v>9360</v>
      </c>
      <c r="R664" s="1001">
        <f t="shared" si="230"/>
        <v>119.4639438417358</v>
      </c>
    </row>
    <row r="665" spans="2:18" x14ac:dyDescent="0.2">
      <c r="B665" s="172">
        <f t="shared" si="241"/>
        <v>660</v>
      </c>
      <c r="C665" s="142"/>
      <c r="D665" s="143"/>
      <c r="E665" s="170"/>
      <c r="F665" s="127" t="s">
        <v>213</v>
      </c>
      <c r="G665" s="193" t="s">
        <v>255</v>
      </c>
      <c r="H665" s="446">
        <v>30</v>
      </c>
      <c r="I665" s="446">
        <v>0</v>
      </c>
      <c r="J665" s="979">
        <f t="shared" si="229"/>
        <v>0</v>
      </c>
      <c r="K665" s="336"/>
      <c r="L665" s="439"/>
      <c r="M665" s="439"/>
      <c r="N665" s="1040"/>
      <c r="O665" s="336"/>
      <c r="P665" s="169">
        <f t="shared" si="232"/>
        <v>30</v>
      </c>
      <c r="Q665" s="169">
        <f t="shared" si="235"/>
        <v>0</v>
      </c>
      <c r="R665" s="986">
        <f t="shared" si="230"/>
        <v>0</v>
      </c>
    </row>
    <row r="666" spans="2:18" x14ac:dyDescent="0.2">
      <c r="B666" s="172">
        <f t="shared" si="241"/>
        <v>661</v>
      </c>
      <c r="C666" s="142"/>
      <c r="D666" s="143"/>
      <c r="E666" s="170"/>
      <c r="F666" s="127" t="s">
        <v>199</v>
      </c>
      <c r="G666" s="193" t="s">
        <v>319</v>
      </c>
      <c r="H666" s="446">
        <v>3875</v>
      </c>
      <c r="I666" s="446">
        <v>4139</v>
      </c>
      <c r="J666" s="979">
        <f t="shared" si="229"/>
        <v>106.81290322580645</v>
      </c>
      <c r="K666" s="336"/>
      <c r="L666" s="439"/>
      <c r="M666" s="439"/>
      <c r="N666" s="1040"/>
      <c r="O666" s="336"/>
      <c r="P666" s="169">
        <f t="shared" si="232"/>
        <v>3875</v>
      </c>
      <c r="Q666" s="169">
        <f t="shared" si="235"/>
        <v>4139</v>
      </c>
      <c r="R666" s="986">
        <f t="shared" si="230"/>
        <v>106.81290322580645</v>
      </c>
    </row>
    <row r="667" spans="2:18" x14ac:dyDescent="0.2">
      <c r="B667" s="172">
        <f t="shared" si="241"/>
        <v>662</v>
      </c>
      <c r="C667" s="142"/>
      <c r="D667" s="143"/>
      <c r="E667" s="170"/>
      <c r="F667" s="127" t="s">
        <v>200</v>
      </c>
      <c r="G667" s="193" t="s">
        <v>247</v>
      </c>
      <c r="H667" s="446">
        <f>1485+800</f>
        <v>2285</v>
      </c>
      <c r="I667" s="446">
        <v>2188</v>
      </c>
      <c r="J667" s="979">
        <f t="shared" si="229"/>
        <v>95.754923413566743</v>
      </c>
      <c r="K667" s="336"/>
      <c r="L667" s="439"/>
      <c r="M667" s="439"/>
      <c r="N667" s="1040"/>
      <c r="O667" s="336"/>
      <c r="P667" s="169">
        <f t="shared" si="232"/>
        <v>2285</v>
      </c>
      <c r="Q667" s="169">
        <f t="shared" si="235"/>
        <v>2188</v>
      </c>
      <c r="R667" s="986">
        <f t="shared" si="230"/>
        <v>95.754923413566743</v>
      </c>
    </row>
    <row r="668" spans="2:18" x14ac:dyDescent="0.2">
      <c r="B668" s="172">
        <f t="shared" si="241"/>
        <v>663</v>
      </c>
      <c r="C668" s="142"/>
      <c r="D668" s="143"/>
      <c r="E668" s="170"/>
      <c r="F668" s="292" t="s">
        <v>214</v>
      </c>
      <c r="G668" s="204" t="s">
        <v>261</v>
      </c>
      <c r="H668" s="446">
        <f>1430-400</f>
        <v>1030</v>
      </c>
      <c r="I668" s="446">
        <v>1559</v>
      </c>
      <c r="J668" s="979">
        <f t="shared" si="229"/>
        <v>151.35922330097088</v>
      </c>
      <c r="K668" s="336"/>
      <c r="L668" s="439"/>
      <c r="M668" s="439"/>
      <c r="N668" s="1040"/>
      <c r="O668" s="336"/>
      <c r="P668" s="169">
        <f t="shared" si="232"/>
        <v>1030</v>
      </c>
      <c r="Q668" s="169">
        <f t="shared" si="235"/>
        <v>1559</v>
      </c>
      <c r="R668" s="986">
        <f t="shared" si="230"/>
        <v>151.35922330097088</v>
      </c>
    </row>
    <row r="669" spans="2:18" x14ac:dyDescent="0.2">
      <c r="B669" s="172">
        <f t="shared" si="241"/>
        <v>664</v>
      </c>
      <c r="C669" s="142"/>
      <c r="D669" s="143"/>
      <c r="E669" s="170"/>
      <c r="F669" s="127" t="s">
        <v>216</v>
      </c>
      <c r="G669" s="193" t="s">
        <v>248</v>
      </c>
      <c r="H669" s="446">
        <f>1015-400</f>
        <v>615</v>
      </c>
      <c r="I669" s="446">
        <v>1474</v>
      </c>
      <c r="J669" s="979">
        <f t="shared" si="229"/>
        <v>239.67479674796749</v>
      </c>
      <c r="K669" s="336"/>
      <c r="L669" s="439"/>
      <c r="M669" s="439"/>
      <c r="N669" s="1040"/>
      <c r="O669" s="336"/>
      <c r="P669" s="169">
        <f t="shared" si="232"/>
        <v>615</v>
      </c>
      <c r="Q669" s="169">
        <f t="shared" si="235"/>
        <v>1474</v>
      </c>
      <c r="R669" s="986">
        <f t="shared" si="230"/>
        <v>239.67479674796749</v>
      </c>
    </row>
    <row r="670" spans="2:18" x14ac:dyDescent="0.2">
      <c r="B670" s="172">
        <f t="shared" si="241"/>
        <v>665</v>
      </c>
      <c r="C670" s="142"/>
      <c r="D670" s="143"/>
      <c r="E670" s="170"/>
      <c r="F670" s="143" t="s">
        <v>217</v>
      </c>
      <c r="G670" s="201" t="s">
        <v>372</v>
      </c>
      <c r="H670" s="403">
        <v>580</v>
      </c>
      <c r="I670" s="403">
        <v>519</v>
      </c>
      <c r="J670" s="996">
        <f t="shared" si="229"/>
        <v>89.482758620689651</v>
      </c>
      <c r="K670" s="336"/>
      <c r="L670" s="439"/>
      <c r="M670" s="439"/>
      <c r="N670" s="1040"/>
      <c r="O670" s="336"/>
      <c r="P670" s="575">
        <f t="shared" si="232"/>
        <v>580</v>
      </c>
      <c r="Q670" s="575">
        <f t="shared" si="235"/>
        <v>519</v>
      </c>
      <c r="R670" s="1001">
        <f t="shared" si="230"/>
        <v>89.482758620689651</v>
      </c>
    </row>
    <row r="671" spans="2:18" ht="15" x14ac:dyDescent="0.25">
      <c r="B671" s="172">
        <f t="shared" si="241"/>
        <v>666</v>
      </c>
      <c r="C671" s="142"/>
      <c r="D671" s="263" t="s">
        <v>470</v>
      </c>
      <c r="E671" s="176"/>
      <c r="F671" s="147" t="s">
        <v>381</v>
      </c>
      <c r="G671" s="238"/>
      <c r="H671" s="427">
        <f>H672+H681</f>
        <v>73526</v>
      </c>
      <c r="I671" s="427">
        <f t="shared" ref="I671" si="242">I672+I681</f>
        <v>73526</v>
      </c>
      <c r="J671" s="965">
        <f t="shared" ref="J671:J733" si="243">I671/H671*100</f>
        <v>100</v>
      </c>
      <c r="K671" s="335"/>
      <c r="L671" s="432"/>
      <c r="M671" s="432"/>
      <c r="N671" s="1035"/>
      <c r="O671" s="335"/>
      <c r="P671" s="331">
        <f t="shared" si="232"/>
        <v>73526</v>
      </c>
      <c r="Q671" s="331">
        <f t="shared" si="235"/>
        <v>73526</v>
      </c>
      <c r="R671" s="982">
        <f t="shared" ref="R671:R733" si="244">Q671/P671*100</f>
        <v>100</v>
      </c>
    </row>
    <row r="672" spans="2:18" ht="14.25" x14ac:dyDescent="0.2">
      <c r="B672" s="172">
        <f t="shared" si="241"/>
        <v>667</v>
      </c>
      <c r="C672" s="74"/>
      <c r="D672" s="558"/>
      <c r="E672" s="565" t="s">
        <v>688</v>
      </c>
      <c r="F672" s="562" t="s">
        <v>691</v>
      </c>
      <c r="G672" s="561"/>
      <c r="H672" s="563">
        <f>H673+H674+H675+H680</f>
        <v>36762</v>
      </c>
      <c r="I672" s="563">
        <f t="shared" ref="I672" si="245">I673+I674+I675+I680</f>
        <v>36762</v>
      </c>
      <c r="J672" s="995">
        <f t="shared" si="243"/>
        <v>100</v>
      </c>
      <c r="K672" s="334"/>
      <c r="L672" s="560"/>
      <c r="M672" s="560"/>
      <c r="N672" s="1037"/>
      <c r="O672" s="334"/>
      <c r="P672" s="564">
        <f t="shared" si="232"/>
        <v>36762</v>
      </c>
      <c r="Q672" s="564">
        <f t="shared" si="235"/>
        <v>36762</v>
      </c>
      <c r="R672" s="1001">
        <f t="shared" si="244"/>
        <v>100</v>
      </c>
    </row>
    <row r="673" spans="2:18" ht="12" customHeight="1" x14ac:dyDescent="0.2">
      <c r="B673" s="172">
        <f t="shared" si="241"/>
        <v>668</v>
      </c>
      <c r="C673" s="142"/>
      <c r="D673" s="143"/>
      <c r="E673" s="127"/>
      <c r="F673" s="143" t="s">
        <v>211</v>
      </c>
      <c r="G673" s="201" t="s">
        <v>506</v>
      </c>
      <c r="H673" s="573">
        <f>16912+846-75-70</f>
        <v>17613</v>
      </c>
      <c r="I673" s="573">
        <v>17774</v>
      </c>
      <c r="J673" s="965">
        <f t="shared" si="243"/>
        <v>100.9140975415886</v>
      </c>
      <c r="K673" s="336"/>
      <c r="L673" s="400"/>
      <c r="M673" s="400"/>
      <c r="N673" s="1035"/>
      <c r="O673" s="336"/>
      <c r="P673" s="167">
        <f t="shared" si="232"/>
        <v>17613</v>
      </c>
      <c r="Q673" s="167">
        <f t="shared" si="235"/>
        <v>17774</v>
      </c>
      <c r="R673" s="982">
        <f t="shared" si="244"/>
        <v>100.9140975415886</v>
      </c>
    </row>
    <row r="674" spans="2:18" ht="12" customHeight="1" x14ac:dyDescent="0.2">
      <c r="B674" s="172">
        <f t="shared" si="241"/>
        <v>669</v>
      </c>
      <c r="C674" s="142"/>
      <c r="D674" s="143"/>
      <c r="E674" s="127"/>
      <c r="F674" s="143" t="s">
        <v>212</v>
      </c>
      <c r="G674" s="201" t="s">
        <v>259</v>
      </c>
      <c r="H674" s="573">
        <f>5913+296</f>
        <v>6209</v>
      </c>
      <c r="I674" s="573">
        <v>6048</v>
      </c>
      <c r="J674" s="965">
        <f t="shared" si="243"/>
        <v>97.406989853438546</v>
      </c>
      <c r="K674" s="336"/>
      <c r="L674" s="400"/>
      <c r="M674" s="400"/>
      <c r="N674" s="1035"/>
      <c r="O674" s="336"/>
      <c r="P674" s="167">
        <f t="shared" si="232"/>
        <v>6209</v>
      </c>
      <c r="Q674" s="167">
        <f t="shared" si="235"/>
        <v>6048</v>
      </c>
      <c r="R674" s="982">
        <f t="shared" si="244"/>
        <v>97.406989853438546</v>
      </c>
    </row>
    <row r="675" spans="2:18" ht="12" customHeight="1" x14ac:dyDescent="0.2">
      <c r="B675" s="172">
        <f t="shared" si="241"/>
        <v>670</v>
      </c>
      <c r="C675" s="142"/>
      <c r="D675" s="143"/>
      <c r="E675" s="127"/>
      <c r="F675" s="143" t="s">
        <v>218</v>
      </c>
      <c r="G675" s="201" t="s">
        <v>341</v>
      </c>
      <c r="H675" s="573">
        <f>SUM(H676:H679)</f>
        <v>12795</v>
      </c>
      <c r="I675" s="573">
        <f t="shared" ref="I675" si="246">SUM(I676:I679)</f>
        <v>12795</v>
      </c>
      <c r="J675" s="965">
        <f t="shared" si="243"/>
        <v>100</v>
      </c>
      <c r="K675" s="336"/>
      <c r="L675" s="400"/>
      <c r="M675" s="400"/>
      <c r="N675" s="1035"/>
      <c r="O675" s="336"/>
      <c r="P675" s="167">
        <f t="shared" si="232"/>
        <v>12795</v>
      </c>
      <c r="Q675" s="167">
        <f t="shared" si="235"/>
        <v>12795</v>
      </c>
      <c r="R675" s="982">
        <f t="shared" si="244"/>
        <v>100</v>
      </c>
    </row>
    <row r="676" spans="2:18" ht="12" customHeight="1" x14ac:dyDescent="0.2">
      <c r="B676" s="172">
        <f t="shared" si="241"/>
        <v>671</v>
      </c>
      <c r="C676" s="142"/>
      <c r="D676" s="143"/>
      <c r="E676" s="127"/>
      <c r="F676" s="127" t="s">
        <v>199</v>
      </c>
      <c r="G676" s="193" t="s">
        <v>319</v>
      </c>
      <c r="H676" s="399">
        <f>8300-2500-1130</f>
        <v>4670</v>
      </c>
      <c r="I676" s="399">
        <v>5159</v>
      </c>
      <c r="J676" s="966">
        <f t="shared" si="243"/>
        <v>110.47109207708779</v>
      </c>
      <c r="K676" s="336"/>
      <c r="L676" s="400"/>
      <c r="M676" s="400"/>
      <c r="N676" s="1035"/>
      <c r="O676" s="336"/>
      <c r="P676" s="168">
        <f>H676+L676</f>
        <v>4670</v>
      </c>
      <c r="Q676" s="168">
        <f t="shared" si="235"/>
        <v>5159</v>
      </c>
      <c r="R676" s="983">
        <f t="shared" si="244"/>
        <v>110.47109207708779</v>
      </c>
    </row>
    <row r="677" spans="2:18" ht="12" customHeight="1" x14ac:dyDescent="0.2">
      <c r="B677" s="172">
        <f t="shared" si="241"/>
        <v>672</v>
      </c>
      <c r="C677" s="142"/>
      <c r="D677" s="143"/>
      <c r="E677" s="127"/>
      <c r="F677" s="127" t="s">
        <v>200</v>
      </c>
      <c r="G677" s="193" t="s">
        <v>247</v>
      </c>
      <c r="H677" s="399">
        <f>1350+2000+1481</f>
        <v>4831</v>
      </c>
      <c r="I677" s="399">
        <v>4071</v>
      </c>
      <c r="J677" s="966">
        <f t="shared" si="243"/>
        <v>84.268267439453524</v>
      </c>
      <c r="K677" s="336"/>
      <c r="L677" s="400"/>
      <c r="M677" s="400"/>
      <c r="N677" s="1035"/>
      <c r="O677" s="336"/>
      <c r="P677" s="168">
        <f>H677+L677</f>
        <v>4831</v>
      </c>
      <c r="Q677" s="168">
        <f t="shared" si="235"/>
        <v>4071</v>
      </c>
      <c r="R677" s="983">
        <f t="shared" si="244"/>
        <v>84.268267439453524</v>
      </c>
    </row>
    <row r="678" spans="2:18" ht="12" customHeight="1" x14ac:dyDescent="0.2">
      <c r="B678" s="172">
        <f t="shared" si="241"/>
        <v>673</v>
      </c>
      <c r="C678" s="142"/>
      <c r="D678" s="143"/>
      <c r="E678" s="127"/>
      <c r="F678" s="127" t="s">
        <v>214</v>
      </c>
      <c r="G678" s="193" t="s">
        <v>261</v>
      </c>
      <c r="H678" s="399">
        <f>2100-387</f>
        <v>1713</v>
      </c>
      <c r="I678" s="399">
        <v>1712</v>
      </c>
      <c r="J678" s="966">
        <f t="shared" si="243"/>
        <v>99.941622883829538</v>
      </c>
      <c r="K678" s="336"/>
      <c r="L678" s="400"/>
      <c r="M678" s="400"/>
      <c r="N678" s="1035"/>
      <c r="O678" s="336"/>
      <c r="P678" s="168">
        <f>H678+L678</f>
        <v>1713</v>
      </c>
      <c r="Q678" s="168">
        <f t="shared" si="235"/>
        <v>1712</v>
      </c>
      <c r="R678" s="983">
        <f t="shared" si="244"/>
        <v>99.941622883829538</v>
      </c>
    </row>
    <row r="679" spans="2:18" ht="12.75" customHeight="1" x14ac:dyDescent="0.2">
      <c r="B679" s="172">
        <f t="shared" si="241"/>
        <v>674</v>
      </c>
      <c r="C679" s="142"/>
      <c r="D679" s="143"/>
      <c r="E679" s="127"/>
      <c r="F679" s="127" t="s">
        <v>216</v>
      </c>
      <c r="G679" s="193" t="s">
        <v>248</v>
      </c>
      <c r="H679" s="399">
        <f>1045+500+36</f>
        <v>1581</v>
      </c>
      <c r="I679" s="399">
        <v>1853</v>
      </c>
      <c r="J679" s="966">
        <f t="shared" si="243"/>
        <v>117.20430107526883</v>
      </c>
      <c r="K679" s="336"/>
      <c r="L679" s="400"/>
      <c r="M679" s="400"/>
      <c r="N679" s="1035"/>
      <c r="O679" s="336"/>
      <c r="P679" s="168">
        <f>H679+L679</f>
        <v>1581</v>
      </c>
      <c r="Q679" s="168">
        <f t="shared" si="235"/>
        <v>1853</v>
      </c>
      <c r="R679" s="983">
        <f t="shared" si="244"/>
        <v>117.20430107526883</v>
      </c>
    </row>
    <row r="680" spans="2:18" ht="12.75" customHeight="1" x14ac:dyDescent="0.2">
      <c r="B680" s="172">
        <f t="shared" si="241"/>
        <v>675</v>
      </c>
      <c r="C680" s="142"/>
      <c r="D680" s="166"/>
      <c r="E680" s="170"/>
      <c r="F680" s="143" t="s">
        <v>217</v>
      </c>
      <c r="G680" s="201" t="s">
        <v>372</v>
      </c>
      <c r="H680" s="403">
        <f>75+70</f>
        <v>145</v>
      </c>
      <c r="I680" s="403">
        <v>145</v>
      </c>
      <c r="J680" s="996">
        <f t="shared" si="243"/>
        <v>100</v>
      </c>
      <c r="K680" s="336"/>
      <c r="L680" s="439"/>
      <c r="M680" s="439"/>
      <c r="N680" s="1040"/>
      <c r="O680" s="336"/>
      <c r="P680" s="575">
        <f t="shared" ref="P680" si="247">H680+L680</f>
        <v>145</v>
      </c>
      <c r="Q680" s="575">
        <f t="shared" si="235"/>
        <v>145</v>
      </c>
      <c r="R680" s="1001">
        <f t="shared" si="244"/>
        <v>100</v>
      </c>
    </row>
    <row r="681" spans="2:18" ht="14.25" x14ac:dyDescent="0.2">
      <c r="B681" s="172">
        <f t="shared" si="241"/>
        <v>676</v>
      </c>
      <c r="C681" s="74"/>
      <c r="D681" s="558"/>
      <c r="E681" s="565" t="s">
        <v>689</v>
      </c>
      <c r="F681" s="562" t="s">
        <v>690</v>
      </c>
      <c r="G681" s="561"/>
      <c r="H681" s="567">
        <f>H682+H683+H684+H689</f>
        <v>36764</v>
      </c>
      <c r="I681" s="567">
        <f t="shared" ref="I681" si="248">I682+I683+I684+I689</f>
        <v>36764</v>
      </c>
      <c r="J681" s="965">
        <f t="shared" si="243"/>
        <v>100</v>
      </c>
      <c r="K681" s="334"/>
      <c r="L681" s="560"/>
      <c r="M681" s="560"/>
      <c r="N681" s="1037"/>
      <c r="O681" s="334"/>
      <c r="P681" s="564">
        <f t="shared" ref="P681:P713" si="249">H681+L681</f>
        <v>36764</v>
      </c>
      <c r="Q681" s="564">
        <f t="shared" si="235"/>
        <v>36764</v>
      </c>
      <c r="R681" s="1001">
        <f t="shared" si="244"/>
        <v>100</v>
      </c>
    </row>
    <row r="682" spans="2:18" x14ac:dyDescent="0.2">
      <c r="B682" s="172">
        <f t="shared" si="241"/>
        <v>677</v>
      </c>
      <c r="C682" s="142"/>
      <c r="D682" s="143"/>
      <c r="E682" s="170"/>
      <c r="F682" s="143" t="s">
        <v>211</v>
      </c>
      <c r="G682" s="201" t="s">
        <v>506</v>
      </c>
      <c r="H682" s="573">
        <f>16913+846-75-70</f>
        <v>17614</v>
      </c>
      <c r="I682" s="573">
        <v>17774</v>
      </c>
      <c r="J682" s="965">
        <f t="shared" si="243"/>
        <v>100.90836834336324</v>
      </c>
      <c r="K682" s="336"/>
      <c r="L682" s="439"/>
      <c r="M682" s="439"/>
      <c r="N682" s="1040"/>
      <c r="O682" s="336"/>
      <c r="P682" s="575">
        <f t="shared" si="249"/>
        <v>17614</v>
      </c>
      <c r="Q682" s="575">
        <f t="shared" si="235"/>
        <v>17774</v>
      </c>
      <c r="R682" s="1001">
        <f t="shared" si="244"/>
        <v>100.90836834336324</v>
      </c>
    </row>
    <row r="683" spans="2:18" x14ac:dyDescent="0.2">
      <c r="B683" s="172">
        <f t="shared" si="241"/>
        <v>678</v>
      </c>
      <c r="C683" s="142"/>
      <c r="D683" s="143"/>
      <c r="E683" s="170"/>
      <c r="F683" s="143" t="s">
        <v>212</v>
      </c>
      <c r="G683" s="201" t="s">
        <v>259</v>
      </c>
      <c r="H683" s="573">
        <f>5914+296</f>
        <v>6210</v>
      </c>
      <c r="I683" s="573">
        <v>6050</v>
      </c>
      <c r="J683" s="965">
        <f t="shared" si="243"/>
        <v>97.423510466988731</v>
      </c>
      <c r="K683" s="336"/>
      <c r="L683" s="439"/>
      <c r="M683" s="439"/>
      <c r="N683" s="1040"/>
      <c r="O683" s="336"/>
      <c r="P683" s="575">
        <f t="shared" si="249"/>
        <v>6210</v>
      </c>
      <c r="Q683" s="575">
        <f t="shared" si="235"/>
        <v>6050</v>
      </c>
      <c r="R683" s="1001">
        <f t="shared" si="244"/>
        <v>97.423510466988731</v>
      </c>
    </row>
    <row r="684" spans="2:18" x14ac:dyDescent="0.2">
      <c r="B684" s="172">
        <f t="shared" si="241"/>
        <v>679</v>
      </c>
      <c r="C684" s="142"/>
      <c r="D684" s="143"/>
      <c r="E684" s="170"/>
      <c r="F684" s="143" t="s">
        <v>218</v>
      </c>
      <c r="G684" s="201" t="s">
        <v>341</v>
      </c>
      <c r="H684" s="573">
        <f>SUM(H685:H688)</f>
        <v>12795</v>
      </c>
      <c r="I684" s="573">
        <f t="shared" ref="I684" si="250">SUM(I685:I688)</f>
        <v>12795</v>
      </c>
      <c r="J684" s="965">
        <f t="shared" si="243"/>
        <v>100</v>
      </c>
      <c r="K684" s="336"/>
      <c r="L684" s="439"/>
      <c r="M684" s="439"/>
      <c r="N684" s="1040"/>
      <c r="O684" s="336"/>
      <c r="P684" s="575">
        <f t="shared" si="249"/>
        <v>12795</v>
      </c>
      <c r="Q684" s="575">
        <f t="shared" si="235"/>
        <v>12795</v>
      </c>
      <c r="R684" s="1001">
        <f t="shared" si="244"/>
        <v>100</v>
      </c>
    </row>
    <row r="685" spans="2:18" x14ac:dyDescent="0.2">
      <c r="B685" s="172">
        <f t="shared" si="241"/>
        <v>680</v>
      </c>
      <c r="C685" s="142"/>
      <c r="D685" s="143"/>
      <c r="E685" s="170"/>
      <c r="F685" s="127" t="s">
        <v>199</v>
      </c>
      <c r="G685" s="193" t="s">
        <v>319</v>
      </c>
      <c r="H685" s="446">
        <f>8300-2500-1130</f>
        <v>4670</v>
      </c>
      <c r="I685" s="446">
        <v>5159</v>
      </c>
      <c r="J685" s="979">
        <f t="shared" si="243"/>
        <v>110.47109207708779</v>
      </c>
      <c r="K685" s="336"/>
      <c r="L685" s="439"/>
      <c r="M685" s="439"/>
      <c r="N685" s="1040"/>
      <c r="O685" s="336"/>
      <c r="P685" s="169">
        <f t="shared" si="249"/>
        <v>4670</v>
      </c>
      <c r="Q685" s="169">
        <f t="shared" si="235"/>
        <v>5159</v>
      </c>
      <c r="R685" s="986">
        <f t="shared" si="244"/>
        <v>110.47109207708779</v>
      </c>
    </row>
    <row r="686" spans="2:18" x14ac:dyDescent="0.2">
      <c r="B686" s="172">
        <f t="shared" si="241"/>
        <v>681</v>
      </c>
      <c r="C686" s="142"/>
      <c r="D686" s="143"/>
      <c r="E686" s="170"/>
      <c r="F686" s="127" t="s">
        <v>200</v>
      </c>
      <c r="G686" s="193" t="s">
        <v>247</v>
      </c>
      <c r="H686" s="446">
        <f>1350+2000+1481</f>
        <v>4831</v>
      </c>
      <c r="I686" s="446">
        <v>4071</v>
      </c>
      <c r="J686" s="979">
        <f t="shared" si="243"/>
        <v>84.268267439453524</v>
      </c>
      <c r="K686" s="336"/>
      <c r="L686" s="439"/>
      <c r="M686" s="439"/>
      <c r="N686" s="1040"/>
      <c r="O686" s="336"/>
      <c r="P686" s="169">
        <f t="shared" si="249"/>
        <v>4831</v>
      </c>
      <c r="Q686" s="169">
        <f t="shared" si="235"/>
        <v>4071</v>
      </c>
      <c r="R686" s="986">
        <f t="shared" si="244"/>
        <v>84.268267439453524</v>
      </c>
    </row>
    <row r="687" spans="2:18" x14ac:dyDescent="0.2">
      <c r="B687" s="172">
        <f t="shared" si="241"/>
        <v>682</v>
      </c>
      <c r="C687" s="142"/>
      <c r="D687" s="143"/>
      <c r="E687" s="170"/>
      <c r="F687" s="292" t="s">
        <v>214</v>
      </c>
      <c r="G687" s="204" t="s">
        <v>261</v>
      </c>
      <c r="H687" s="446">
        <f>2100-387</f>
        <v>1713</v>
      </c>
      <c r="I687" s="446">
        <v>1712</v>
      </c>
      <c r="J687" s="979">
        <f t="shared" si="243"/>
        <v>99.941622883829538</v>
      </c>
      <c r="K687" s="336"/>
      <c r="L687" s="439"/>
      <c r="M687" s="439"/>
      <c r="N687" s="1040"/>
      <c r="O687" s="336"/>
      <c r="P687" s="169">
        <f t="shared" si="249"/>
        <v>1713</v>
      </c>
      <c r="Q687" s="169">
        <f t="shared" si="235"/>
        <v>1712</v>
      </c>
      <c r="R687" s="986">
        <f t="shared" si="244"/>
        <v>99.941622883829538</v>
      </c>
    </row>
    <row r="688" spans="2:18" x14ac:dyDescent="0.2">
      <c r="B688" s="172">
        <f t="shared" si="241"/>
        <v>683</v>
      </c>
      <c r="C688" s="142"/>
      <c r="D688" s="143"/>
      <c r="E688" s="170"/>
      <c r="F688" s="127" t="s">
        <v>216</v>
      </c>
      <c r="G688" s="193" t="s">
        <v>248</v>
      </c>
      <c r="H688" s="446">
        <f>1045+500+36</f>
        <v>1581</v>
      </c>
      <c r="I688" s="446">
        <v>1853</v>
      </c>
      <c r="J688" s="979">
        <f t="shared" si="243"/>
        <v>117.20430107526883</v>
      </c>
      <c r="K688" s="336"/>
      <c r="L688" s="439"/>
      <c r="M688" s="439"/>
      <c r="N688" s="1040"/>
      <c r="O688" s="336"/>
      <c r="P688" s="169">
        <f t="shared" si="249"/>
        <v>1581</v>
      </c>
      <c r="Q688" s="169">
        <f t="shared" si="235"/>
        <v>1853</v>
      </c>
      <c r="R688" s="986">
        <f t="shared" si="244"/>
        <v>117.20430107526883</v>
      </c>
    </row>
    <row r="689" spans="2:18" x14ac:dyDescent="0.2">
      <c r="B689" s="172">
        <f t="shared" si="241"/>
        <v>684</v>
      </c>
      <c r="C689" s="142"/>
      <c r="D689" s="143"/>
      <c r="E689" s="170"/>
      <c r="F689" s="143" t="s">
        <v>217</v>
      </c>
      <c r="G689" s="201" t="s">
        <v>372</v>
      </c>
      <c r="H689" s="403">
        <f>75+70</f>
        <v>145</v>
      </c>
      <c r="I689" s="403">
        <v>145</v>
      </c>
      <c r="J689" s="996">
        <f t="shared" si="243"/>
        <v>100</v>
      </c>
      <c r="K689" s="336"/>
      <c r="L689" s="439"/>
      <c r="M689" s="439"/>
      <c r="N689" s="1040"/>
      <c r="O689" s="336"/>
      <c r="P689" s="575">
        <f t="shared" si="249"/>
        <v>145</v>
      </c>
      <c r="Q689" s="575">
        <f t="shared" si="235"/>
        <v>145</v>
      </c>
      <c r="R689" s="1001">
        <f t="shared" si="244"/>
        <v>100</v>
      </c>
    </row>
    <row r="690" spans="2:18" ht="15" x14ac:dyDescent="0.25">
      <c r="B690" s="172">
        <f t="shared" si="241"/>
        <v>685</v>
      </c>
      <c r="C690" s="142"/>
      <c r="D690" s="263" t="s">
        <v>471</v>
      </c>
      <c r="E690" s="176"/>
      <c r="F690" s="147" t="s">
        <v>382</v>
      </c>
      <c r="G690" s="238"/>
      <c r="H690" s="427">
        <f>H691+H700</f>
        <v>64761</v>
      </c>
      <c r="I690" s="427">
        <f t="shared" ref="I690" si="251">I691+I700</f>
        <v>64761</v>
      </c>
      <c r="J690" s="965">
        <f t="shared" si="243"/>
        <v>100</v>
      </c>
      <c r="K690" s="335"/>
      <c r="L690" s="432"/>
      <c r="M690" s="432"/>
      <c r="N690" s="1035"/>
      <c r="O690" s="335"/>
      <c r="P690" s="331">
        <f t="shared" si="249"/>
        <v>64761</v>
      </c>
      <c r="Q690" s="331">
        <f t="shared" si="235"/>
        <v>64761</v>
      </c>
      <c r="R690" s="982">
        <f t="shared" si="244"/>
        <v>100</v>
      </c>
    </row>
    <row r="691" spans="2:18" ht="14.25" x14ac:dyDescent="0.2">
      <c r="B691" s="172">
        <f t="shared" si="241"/>
        <v>686</v>
      </c>
      <c r="C691" s="74"/>
      <c r="D691" s="558"/>
      <c r="E691" s="565" t="s">
        <v>688</v>
      </c>
      <c r="F691" s="562" t="s">
        <v>691</v>
      </c>
      <c r="G691" s="561"/>
      <c r="H691" s="563">
        <f>H692+H694+H693+H699</f>
        <v>32380</v>
      </c>
      <c r="I691" s="563">
        <f t="shared" ref="I691" si="252">I692+I694+I693+I699</f>
        <v>32380</v>
      </c>
      <c r="J691" s="995">
        <f t="shared" si="243"/>
        <v>100</v>
      </c>
      <c r="K691" s="334"/>
      <c r="L691" s="560"/>
      <c r="M691" s="560"/>
      <c r="N691" s="1037"/>
      <c r="O691" s="334"/>
      <c r="P691" s="564">
        <f t="shared" si="249"/>
        <v>32380</v>
      </c>
      <c r="Q691" s="564">
        <f t="shared" si="235"/>
        <v>32380</v>
      </c>
      <c r="R691" s="1001">
        <f t="shared" si="244"/>
        <v>100</v>
      </c>
    </row>
    <row r="692" spans="2:18" ht="12" customHeight="1" x14ac:dyDescent="0.2">
      <c r="B692" s="172">
        <f t="shared" si="241"/>
        <v>687</v>
      </c>
      <c r="C692" s="142"/>
      <c r="D692" s="143"/>
      <c r="E692" s="127"/>
      <c r="F692" s="143" t="s">
        <v>211</v>
      </c>
      <c r="G692" s="201" t="s">
        <v>506</v>
      </c>
      <c r="H692" s="573">
        <f>18007+900+600</f>
        <v>19507</v>
      </c>
      <c r="I692" s="573">
        <v>19970</v>
      </c>
      <c r="J692" s="965">
        <f t="shared" si="243"/>
        <v>102.37350694622442</v>
      </c>
      <c r="K692" s="336"/>
      <c r="L692" s="400"/>
      <c r="M692" s="400"/>
      <c r="N692" s="1035"/>
      <c r="O692" s="336"/>
      <c r="P692" s="167">
        <f t="shared" si="249"/>
        <v>19507</v>
      </c>
      <c r="Q692" s="167">
        <f t="shared" si="235"/>
        <v>19970</v>
      </c>
      <c r="R692" s="982">
        <f t="shared" si="244"/>
        <v>102.37350694622442</v>
      </c>
    </row>
    <row r="693" spans="2:18" ht="12" customHeight="1" x14ac:dyDescent="0.2">
      <c r="B693" s="172">
        <f t="shared" ref="B693:B750" si="253">B692+1</f>
        <v>688</v>
      </c>
      <c r="C693" s="142"/>
      <c r="D693" s="143"/>
      <c r="E693" s="127"/>
      <c r="F693" s="143" t="s">
        <v>212</v>
      </c>
      <c r="G693" s="201" t="s">
        <v>259</v>
      </c>
      <c r="H693" s="573">
        <f>6779+339-600</f>
        <v>6518</v>
      </c>
      <c r="I693" s="573">
        <v>5938</v>
      </c>
      <c r="J693" s="965">
        <f t="shared" si="243"/>
        <v>91.101564897207737</v>
      </c>
      <c r="K693" s="336"/>
      <c r="L693" s="400"/>
      <c r="M693" s="400"/>
      <c r="N693" s="1035"/>
      <c r="O693" s="336"/>
      <c r="P693" s="167">
        <f t="shared" si="249"/>
        <v>6518</v>
      </c>
      <c r="Q693" s="167">
        <f t="shared" si="235"/>
        <v>5938</v>
      </c>
      <c r="R693" s="982">
        <f t="shared" si="244"/>
        <v>91.101564897207737</v>
      </c>
    </row>
    <row r="694" spans="2:18" ht="12" customHeight="1" x14ac:dyDescent="0.2">
      <c r="B694" s="172">
        <f t="shared" si="253"/>
        <v>689</v>
      </c>
      <c r="C694" s="142"/>
      <c r="D694" s="143"/>
      <c r="E694" s="127"/>
      <c r="F694" s="143" t="s">
        <v>218</v>
      </c>
      <c r="G694" s="201" t="s">
        <v>341</v>
      </c>
      <c r="H694" s="573">
        <f>SUM(H695:H698)</f>
        <v>6255</v>
      </c>
      <c r="I694" s="573">
        <f t="shared" ref="I694" si="254">SUM(I695:I698)</f>
        <v>6255</v>
      </c>
      <c r="J694" s="965">
        <f t="shared" si="243"/>
        <v>100</v>
      </c>
      <c r="K694" s="336"/>
      <c r="L694" s="400"/>
      <c r="M694" s="400"/>
      <c r="N694" s="1035"/>
      <c r="O694" s="336"/>
      <c r="P694" s="167">
        <f t="shared" si="249"/>
        <v>6255</v>
      </c>
      <c r="Q694" s="167">
        <f t="shared" si="235"/>
        <v>6255</v>
      </c>
      <c r="R694" s="982">
        <f t="shared" si="244"/>
        <v>100</v>
      </c>
    </row>
    <row r="695" spans="2:18" ht="12" customHeight="1" x14ac:dyDescent="0.2">
      <c r="B695" s="172">
        <f t="shared" si="253"/>
        <v>690</v>
      </c>
      <c r="C695" s="142"/>
      <c r="D695" s="143"/>
      <c r="E695" s="127"/>
      <c r="F695" s="127" t="s">
        <v>199</v>
      </c>
      <c r="G695" s="193" t="s">
        <v>319</v>
      </c>
      <c r="H695" s="399">
        <f>4445-560</f>
        <v>3885</v>
      </c>
      <c r="I695" s="399">
        <v>3885</v>
      </c>
      <c r="J695" s="966">
        <f t="shared" si="243"/>
        <v>100</v>
      </c>
      <c r="K695" s="336"/>
      <c r="L695" s="400"/>
      <c r="M695" s="400"/>
      <c r="N695" s="1035"/>
      <c r="O695" s="336"/>
      <c r="P695" s="168">
        <f t="shared" si="249"/>
        <v>3885</v>
      </c>
      <c r="Q695" s="168">
        <f t="shared" si="235"/>
        <v>3885</v>
      </c>
      <c r="R695" s="983">
        <f t="shared" si="244"/>
        <v>100</v>
      </c>
    </row>
    <row r="696" spans="2:18" ht="12" customHeight="1" x14ac:dyDescent="0.2">
      <c r="B696" s="172">
        <f t="shared" si="253"/>
        <v>691</v>
      </c>
      <c r="C696" s="142"/>
      <c r="D696" s="143"/>
      <c r="E696" s="127"/>
      <c r="F696" s="127" t="s">
        <v>200</v>
      </c>
      <c r="G696" s="193" t="s">
        <v>247</v>
      </c>
      <c r="H696" s="399">
        <f>500+180</f>
        <v>680</v>
      </c>
      <c r="I696" s="399">
        <v>680</v>
      </c>
      <c r="J696" s="966">
        <f t="shared" si="243"/>
        <v>100</v>
      </c>
      <c r="K696" s="337"/>
      <c r="L696" s="439"/>
      <c r="M696" s="439"/>
      <c r="N696" s="1040"/>
      <c r="O696" s="337"/>
      <c r="P696" s="169">
        <f t="shared" si="249"/>
        <v>680</v>
      </c>
      <c r="Q696" s="169">
        <f t="shared" si="235"/>
        <v>680</v>
      </c>
      <c r="R696" s="986">
        <f t="shared" si="244"/>
        <v>100</v>
      </c>
    </row>
    <row r="697" spans="2:18" ht="12" customHeight="1" x14ac:dyDescent="0.2">
      <c r="B697" s="172">
        <f t="shared" si="253"/>
        <v>692</v>
      </c>
      <c r="C697" s="142"/>
      <c r="D697" s="143"/>
      <c r="E697" s="127"/>
      <c r="F697" s="127" t="s">
        <v>214</v>
      </c>
      <c r="G697" s="193" t="s">
        <v>261</v>
      </c>
      <c r="H697" s="436">
        <v>200</v>
      </c>
      <c r="I697" s="436">
        <v>200</v>
      </c>
      <c r="J697" s="978">
        <f t="shared" si="243"/>
        <v>100</v>
      </c>
      <c r="K697" s="336"/>
      <c r="L697" s="443"/>
      <c r="M697" s="443"/>
      <c r="N697" s="1041"/>
      <c r="O697" s="336"/>
      <c r="P697" s="269">
        <f t="shared" si="249"/>
        <v>200</v>
      </c>
      <c r="Q697" s="269">
        <f t="shared" si="235"/>
        <v>200</v>
      </c>
      <c r="R697" s="1018">
        <f t="shared" si="244"/>
        <v>100</v>
      </c>
    </row>
    <row r="698" spans="2:18" ht="12" customHeight="1" x14ac:dyDescent="0.2">
      <c r="B698" s="172">
        <f t="shared" si="253"/>
        <v>693</v>
      </c>
      <c r="C698" s="126"/>
      <c r="D698" s="127"/>
      <c r="E698" s="127"/>
      <c r="F698" s="127" t="s">
        <v>216</v>
      </c>
      <c r="G698" s="193" t="s">
        <v>248</v>
      </c>
      <c r="H698" s="399">
        <f>1110+380</f>
        <v>1490</v>
      </c>
      <c r="I698" s="399">
        <v>1490</v>
      </c>
      <c r="J698" s="966">
        <f t="shared" si="243"/>
        <v>100</v>
      </c>
      <c r="K698" s="338"/>
      <c r="L698" s="441"/>
      <c r="M698" s="441"/>
      <c r="N698" s="1036"/>
      <c r="O698" s="338"/>
      <c r="P698" s="168">
        <f t="shared" si="249"/>
        <v>1490</v>
      </c>
      <c r="Q698" s="168">
        <f t="shared" si="235"/>
        <v>1490</v>
      </c>
      <c r="R698" s="983">
        <f t="shared" si="244"/>
        <v>100</v>
      </c>
    </row>
    <row r="699" spans="2:18" x14ac:dyDescent="0.2">
      <c r="B699" s="172">
        <f t="shared" si="253"/>
        <v>694</v>
      </c>
      <c r="C699" s="126"/>
      <c r="D699" s="126"/>
      <c r="E699" s="130"/>
      <c r="F699" s="143" t="s">
        <v>217</v>
      </c>
      <c r="G699" s="201" t="s">
        <v>508</v>
      </c>
      <c r="H699" s="573">
        <v>100</v>
      </c>
      <c r="I699" s="573">
        <v>217</v>
      </c>
      <c r="J699" s="965">
        <f t="shared" si="243"/>
        <v>217</v>
      </c>
      <c r="K699" s="342"/>
      <c r="L699" s="574"/>
      <c r="M699" s="574"/>
      <c r="N699" s="1037"/>
      <c r="O699" s="342"/>
      <c r="P699" s="575">
        <f t="shared" si="249"/>
        <v>100</v>
      </c>
      <c r="Q699" s="575">
        <f t="shared" si="235"/>
        <v>217</v>
      </c>
      <c r="R699" s="1001">
        <f t="shared" si="244"/>
        <v>217</v>
      </c>
    </row>
    <row r="700" spans="2:18" ht="14.25" x14ac:dyDescent="0.2">
      <c r="B700" s="172">
        <f t="shared" si="253"/>
        <v>695</v>
      </c>
      <c r="C700" s="74"/>
      <c r="D700" s="558"/>
      <c r="E700" s="565" t="s">
        <v>689</v>
      </c>
      <c r="F700" s="562" t="s">
        <v>690</v>
      </c>
      <c r="G700" s="561"/>
      <c r="H700" s="567">
        <f>H701+H702+H703+H708</f>
        <v>32381</v>
      </c>
      <c r="I700" s="567">
        <f>I701+I702+I703+I708</f>
        <v>32381</v>
      </c>
      <c r="J700" s="965">
        <f t="shared" si="243"/>
        <v>100</v>
      </c>
      <c r="K700" s="334"/>
      <c r="L700" s="560"/>
      <c r="M700" s="560"/>
      <c r="N700" s="1037"/>
      <c r="O700" s="334"/>
      <c r="P700" s="564">
        <f t="shared" si="249"/>
        <v>32381</v>
      </c>
      <c r="Q700" s="564">
        <f t="shared" si="235"/>
        <v>32381</v>
      </c>
      <c r="R700" s="1001">
        <f t="shared" si="244"/>
        <v>100</v>
      </c>
    </row>
    <row r="701" spans="2:18" x14ac:dyDescent="0.2">
      <c r="B701" s="172">
        <f t="shared" si="253"/>
        <v>696</v>
      </c>
      <c r="C701" s="142"/>
      <c r="D701" s="143"/>
      <c r="E701" s="170"/>
      <c r="F701" s="143" t="s">
        <v>211</v>
      </c>
      <c r="G701" s="201" t="s">
        <v>506</v>
      </c>
      <c r="H701" s="573">
        <f>18008+900+900</f>
        <v>19808</v>
      </c>
      <c r="I701" s="573">
        <v>19845</v>
      </c>
      <c r="J701" s="965">
        <f t="shared" si="243"/>
        <v>100.18679321486267</v>
      </c>
      <c r="K701" s="336"/>
      <c r="L701" s="439"/>
      <c r="M701" s="439"/>
      <c r="N701" s="1040"/>
      <c r="O701" s="336"/>
      <c r="P701" s="575">
        <f t="shared" si="249"/>
        <v>19808</v>
      </c>
      <c r="Q701" s="575">
        <f t="shared" si="235"/>
        <v>19845</v>
      </c>
      <c r="R701" s="1001">
        <f t="shared" si="244"/>
        <v>100.18679321486267</v>
      </c>
    </row>
    <row r="702" spans="2:18" x14ac:dyDescent="0.2">
      <c r="B702" s="172">
        <f t="shared" si="253"/>
        <v>697</v>
      </c>
      <c r="C702" s="142"/>
      <c r="D702" s="143"/>
      <c r="E702" s="170"/>
      <c r="F702" s="143" t="s">
        <v>212</v>
      </c>
      <c r="G702" s="201" t="s">
        <v>259</v>
      </c>
      <c r="H702" s="573">
        <f>6779+339-1300</f>
        <v>5818</v>
      </c>
      <c r="I702" s="573">
        <v>5608</v>
      </c>
      <c r="J702" s="965">
        <f t="shared" si="243"/>
        <v>96.390512203506361</v>
      </c>
      <c r="K702" s="336"/>
      <c r="L702" s="439"/>
      <c r="M702" s="439"/>
      <c r="N702" s="1040"/>
      <c r="O702" s="336"/>
      <c r="P702" s="575">
        <f t="shared" si="249"/>
        <v>5818</v>
      </c>
      <c r="Q702" s="575">
        <f t="shared" si="235"/>
        <v>5608</v>
      </c>
      <c r="R702" s="1001">
        <f t="shared" si="244"/>
        <v>96.390512203506361</v>
      </c>
    </row>
    <row r="703" spans="2:18" x14ac:dyDescent="0.2">
      <c r="B703" s="172">
        <f t="shared" si="253"/>
        <v>698</v>
      </c>
      <c r="C703" s="142"/>
      <c r="D703" s="143"/>
      <c r="E703" s="170"/>
      <c r="F703" s="143" t="s">
        <v>218</v>
      </c>
      <c r="G703" s="201" t="s">
        <v>341</v>
      </c>
      <c r="H703" s="573">
        <f>SUM(H704:H707)</f>
        <v>6655</v>
      </c>
      <c r="I703" s="573">
        <f t="shared" ref="I703" si="255">SUM(I704:I707)</f>
        <v>6655</v>
      </c>
      <c r="J703" s="965">
        <f t="shared" si="243"/>
        <v>100</v>
      </c>
      <c r="K703" s="336"/>
      <c r="L703" s="439"/>
      <c r="M703" s="439"/>
      <c r="N703" s="1040"/>
      <c r="O703" s="336"/>
      <c r="P703" s="575">
        <f t="shared" si="249"/>
        <v>6655</v>
      </c>
      <c r="Q703" s="575">
        <f t="shared" ref="Q703:Q755" si="256">I703+M703</f>
        <v>6655</v>
      </c>
      <c r="R703" s="1001">
        <f t="shared" si="244"/>
        <v>100</v>
      </c>
    </row>
    <row r="704" spans="2:18" x14ac:dyDescent="0.2">
      <c r="B704" s="172">
        <f t="shared" si="253"/>
        <v>699</v>
      </c>
      <c r="C704" s="142"/>
      <c r="D704" s="143"/>
      <c r="E704" s="170"/>
      <c r="F704" s="127" t="s">
        <v>199</v>
      </c>
      <c r="G704" s="193" t="s">
        <v>319</v>
      </c>
      <c r="H704" s="446">
        <f>4445-160</f>
        <v>4285</v>
      </c>
      <c r="I704" s="446">
        <v>4285</v>
      </c>
      <c r="J704" s="979">
        <f t="shared" si="243"/>
        <v>100</v>
      </c>
      <c r="K704" s="336"/>
      <c r="L704" s="439"/>
      <c r="M704" s="439"/>
      <c r="N704" s="1040"/>
      <c r="O704" s="336"/>
      <c r="P704" s="169">
        <f t="shared" si="249"/>
        <v>4285</v>
      </c>
      <c r="Q704" s="169">
        <f t="shared" si="256"/>
        <v>4285</v>
      </c>
      <c r="R704" s="986">
        <f t="shared" si="244"/>
        <v>100</v>
      </c>
    </row>
    <row r="705" spans="2:18" x14ac:dyDescent="0.2">
      <c r="B705" s="172">
        <f t="shared" si="253"/>
        <v>700</v>
      </c>
      <c r="C705" s="142"/>
      <c r="D705" s="143"/>
      <c r="E705" s="170"/>
      <c r="F705" s="127" t="s">
        <v>200</v>
      </c>
      <c r="G705" s="193" t="s">
        <v>247</v>
      </c>
      <c r="H705" s="446">
        <f>500+180</f>
        <v>680</v>
      </c>
      <c r="I705" s="446">
        <v>680</v>
      </c>
      <c r="J705" s="979">
        <f t="shared" si="243"/>
        <v>100</v>
      </c>
      <c r="K705" s="336"/>
      <c r="L705" s="439"/>
      <c r="M705" s="439"/>
      <c r="N705" s="1040"/>
      <c r="O705" s="336"/>
      <c r="P705" s="169">
        <f t="shared" si="249"/>
        <v>680</v>
      </c>
      <c r="Q705" s="169">
        <f t="shared" si="256"/>
        <v>680</v>
      </c>
      <c r="R705" s="986">
        <f t="shared" si="244"/>
        <v>100</v>
      </c>
    </row>
    <row r="706" spans="2:18" x14ac:dyDescent="0.2">
      <c r="B706" s="172">
        <f t="shared" si="253"/>
        <v>701</v>
      </c>
      <c r="C706" s="142"/>
      <c r="D706" s="143"/>
      <c r="E706" s="170"/>
      <c r="F706" s="292" t="s">
        <v>214</v>
      </c>
      <c r="G706" s="204" t="s">
        <v>261</v>
      </c>
      <c r="H706" s="399">
        <v>200</v>
      </c>
      <c r="I706" s="399">
        <v>200</v>
      </c>
      <c r="J706" s="966">
        <f t="shared" si="243"/>
        <v>100</v>
      </c>
      <c r="K706" s="336"/>
      <c r="L706" s="439"/>
      <c r="M706" s="439"/>
      <c r="N706" s="1040"/>
      <c r="O706" s="336"/>
      <c r="P706" s="169">
        <f t="shared" si="249"/>
        <v>200</v>
      </c>
      <c r="Q706" s="169">
        <f t="shared" si="256"/>
        <v>200</v>
      </c>
      <c r="R706" s="986">
        <f t="shared" si="244"/>
        <v>100</v>
      </c>
    </row>
    <row r="707" spans="2:18" x14ac:dyDescent="0.2">
      <c r="B707" s="172">
        <f t="shared" si="253"/>
        <v>702</v>
      </c>
      <c r="C707" s="142"/>
      <c r="D707" s="143"/>
      <c r="E707" s="170"/>
      <c r="F707" s="127" t="s">
        <v>216</v>
      </c>
      <c r="G707" s="193" t="s">
        <v>248</v>
      </c>
      <c r="H707" s="399">
        <f>1110+380</f>
        <v>1490</v>
      </c>
      <c r="I707" s="399">
        <v>1490</v>
      </c>
      <c r="J707" s="966">
        <f t="shared" si="243"/>
        <v>100</v>
      </c>
      <c r="K707" s="336"/>
      <c r="L707" s="439"/>
      <c r="M707" s="439"/>
      <c r="N707" s="1040"/>
      <c r="O707" s="336"/>
      <c r="P707" s="169">
        <f t="shared" si="249"/>
        <v>1490</v>
      </c>
      <c r="Q707" s="169">
        <f t="shared" si="256"/>
        <v>1490</v>
      </c>
      <c r="R707" s="986">
        <f t="shared" si="244"/>
        <v>100</v>
      </c>
    </row>
    <row r="708" spans="2:18" x14ac:dyDescent="0.2">
      <c r="B708" s="172">
        <f t="shared" si="253"/>
        <v>703</v>
      </c>
      <c r="C708" s="142"/>
      <c r="D708" s="143"/>
      <c r="E708" s="170"/>
      <c r="F708" s="143" t="s">
        <v>217</v>
      </c>
      <c r="G708" s="201" t="s">
        <v>372</v>
      </c>
      <c r="H708" s="573">
        <v>100</v>
      </c>
      <c r="I708" s="573">
        <v>273</v>
      </c>
      <c r="J708" s="965">
        <f t="shared" si="243"/>
        <v>273</v>
      </c>
      <c r="K708" s="336"/>
      <c r="L708" s="439"/>
      <c r="M708" s="439"/>
      <c r="N708" s="1040"/>
      <c r="O708" s="336"/>
      <c r="P708" s="575">
        <f t="shared" si="249"/>
        <v>100</v>
      </c>
      <c r="Q708" s="575">
        <f t="shared" si="256"/>
        <v>273</v>
      </c>
      <c r="R708" s="1001">
        <f t="shared" si="244"/>
        <v>273</v>
      </c>
    </row>
    <row r="709" spans="2:18" ht="15" x14ac:dyDescent="0.25">
      <c r="B709" s="172">
        <f t="shared" si="253"/>
        <v>704</v>
      </c>
      <c r="C709" s="126"/>
      <c r="D709" s="265">
        <v>20</v>
      </c>
      <c r="E709" s="270"/>
      <c r="F709" s="267" t="s">
        <v>383</v>
      </c>
      <c r="G709" s="268"/>
      <c r="H709" s="429">
        <f>H710+H718</f>
        <v>70589</v>
      </c>
      <c r="I709" s="429">
        <f>I710+I718</f>
        <v>70589</v>
      </c>
      <c r="J709" s="995">
        <f t="shared" si="243"/>
        <v>100</v>
      </c>
      <c r="K709" s="341"/>
      <c r="L709" s="450">
        <f>L710+L718</f>
        <v>9530</v>
      </c>
      <c r="M709" s="450">
        <f>M710+M718</f>
        <v>9530</v>
      </c>
      <c r="N709" s="1042">
        <f t="shared" ref="N709:N729" si="257">M709/L709*100</f>
        <v>100</v>
      </c>
      <c r="O709" s="341"/>
      <c r="P709" s="345">
        <f t="shared" si="249"/>
        <v>80119</v>
      </c>
      <c r="Q709" s="345">
        <f t="shared" si="256"/>
        <v>80119</v>
      </c>
      <c r="R709" s="1009">
        <f t="shared" si="244"/>
        <v>100</v>
      </c>
    </row>
    <row r="710" spans="2:18" ht="14.25" x14ac:dyDescent="0.2">
      <c r="B710" s="172">
        <f t="shared" si="253"/>
        <v>705</v>
      </c>
      <c r="C710" s="74"/>
      <c r="D710" s="558"/>
      <c r="E710" s="565" t="s">
        <v>688</v>
      </c>
      <c r="F710" s="562" t="s">
        <v>691</v>
      </c>
      <c r="G710" s="561"/>
      <c r="H710" s="563">
        <f>H711+H712+H713</f>
        <v>31654</v>
      </c>
      <c r="I710" s="563">
        <f>I711+I712+I713</f>
        <v>31654</v>
      </c>
      <c r="J710" s="995">
        <f t="shared" si="243"/>
        <v>100</v>
      </c>
      <c r="K710" s="334"/>
      <c r="L710" s="694">
        <f>L717</f>
        <v>2520</v>
      </c>
      <c r="M710" s="694">
        <f t="shared" ref="M710" si="258">M717</f>
        <v>2520</v>
      </c>
      <c r="N710" s="1040">
        <f t="shared" si="257"/>
        <v>100</v>
      </c>
      <c r="O710" s="334"/>
      <c r="P710" s="564">
        <f t="shared" si="249"/>
        <v>34174</v>
      </c>
      <c r="Q710" s="564">
        <f t="shared" si="256"/>
        <v>34174</v>
      </c>
      <c r="R710" s="1001">
        <f t="shared" si="244"/>
        <v>100</v>
      </c>
    </row>
    <row r="711" spans="2:18" ht="12" customHeight="1" x14ac:dyDescent="0.2">
      <c r="B711" s="172">
        <f t="shared" si="253"/>
        <v>706</v>
      </c>
      <c r="C711" s="126"/>
      <c r="D711" s="126"/>
      <c r="E711" s="130"/>
      <c r="F711" s="143" t="s">
        <v>211</v>
      </c>
      <c r="G711" s="201" t="s">
        <v>506</v>
      </c>
      <c r="H711" s="573">
        <f>17505+875</f>
        <v>18380</v>
      </c>
      <c r="I711" s="573">
        <v>19955</v>
      </c>
      <c r="J711" s="965">
        <f t="shared" si="243"/>
        <v>108.56909684439609</v>
      </c>
      <c r="K711" s="338"/>
      <c r="L711" s="574"/>
      <c r="M711" s="574"/>
      <c r="N711" s="1037"/>
      <c r="O711" s="338"/>
      <c r="P711" s="575">
        <f t="shared" si="249"/>
        <v>18380</v>
      </c>
      <c r="Q711" s="575">
        <f t="shared" si="256"/>
        <v>19955</v>
      </c>
      <c r="R711" s="1001">
        <f t="shared" si="244"/>
        <v>108.56909684439609</v>
      </c>
    </row>
    <row r="712" spans="2:18" ht="12" customHeight="1" x14ac:dyDescent="0.2">
      <c r="B712" s="172">
        <f t="shared" si="253"/>
        <v>707</v>
      </c>
      <c r="C712" s="126"/>
      <c r="D712" s="126"/>
      <c r="E712" s="130"/>
      <c r="F712" s="143" t="s">
        <v>212</v>
      </c>
      <c r="G712" s="201" t="s">
        <v>259</v>
      </c>
      <c r="H712" s="573">
        <f>6357+318</f>
        <v>6675</v>
      </c>
      <c r="I712" s="573">
        <v>5100</v>
      </c>
      <c r="J712" s="965">
        <f t="shared" si="243"/>
        <v>76.404494382022463</v>
      </c>
      <c r="K712" s="338"/>
      <c r="L712" s="574"/>
      <c r="M712" s="574"/>
      <c r="N712" s="1037"/>
      <c r="O712" s="338"/>
      <c r="P712" s="575">
        <f t="shared" si="249"/>
        <v>6675</v>
      </c>
      <c r="Q712" s="575">
        <f t="shared" si="256"/>
        <v>5100</v>
      </c>
      <c r="R712" s="1001">
        <f t="shared" si="244"/>
        <v>76.404494382022463</v>
      </c>
    </row>
    <row r="713" spans="2:18" ht="12" customHeight="1" x14ac:dyDescent="0.2">
      <c r="B713" s="172">
        <f t="shared" si="253"/>
        <v>708</v>
      </c>
      <c r="C713" s="126"/>
      <c r="D713" s="126"/>
      <c r="E713" s="130"/>
      <c r="F713" s="143" t="s">
        <v>218</v>
      </c>
      <c r="G713" s="201" t="s">
        <v>341</v>
      </c>
      <c r="H713" s="573">
        <f>SUM(H714:H716)</f>
        <v>6599</v>
      </c>
      <c r="I713" s="573">
        <f t="shared" ref="I713" si="259">SUM(I714:I716)</f>
        <v>6599</v>
      </c>
      <c r="J713" s="965">
        <f t="shared" si="243"/>
        <v>100</v>
      </c>
      <c r="K713" s="338"/>
      <c r="L713" s="574"/>
      <c r="M713" s="574"/>
      <c r="N713" s="1037"/>
      <c r="O713" s="338"/>
      <c r="P713" s="575">
        <f t="shared" si="249"/>
        <v>6599</v>
      </c>
      <c r="Q713" s="575">
        <f t="shared" si="256"/>
        <v>6599</v>
      </c>
      <c r="R713" s="1001">
        <f t="shared" si="244"/>
        <v>100</v>
      </c>
    </row>
    <row r="714" spans="2:18" ht="12" customHeight="1" x14ac:dyDescent="0.2">
      <c r="B714" s="172">
        <f t="shared" si="253"/>
        <v>709</v>
      </c>
      <c r="C714" s="126"/>
      <c r="D714" s="126"/>
      <c r="E714" s="130"/>
      <c r="F714" s="127" t="s">
        <v>199</v>
      </c>
      <c r="G714" s="193" t="s">
        <v>319</v>
      </c>
      <c r="H714" s="399">
        <f>2147+1000</f>
        <v>3147</v>
      </c>
      <c r="I714" s="399">
        <v>3147</v>
      </c>
      <c r="J714" s="966">
        <f t="shared" si="243"/>
        <v>100</v>
      </c>
      <c r="K714" s="338"/>
      <c r="L714" s="574"/>
      <c r="M714" s="574"/>
      <c r="N714" s="1037"/>
      <c r="O714" s="338"/>
      <c r="P714" s="169">
        <f>H714+L714</f>
        <v>3147</v>
      </c>
      <c r="Q714" s="169">
        <f t="shared" si="256"/>
        <v>3147</v>
      </c>
      <c r="R714" s="986">
        <f t="shared" si="244"/>
        <v>100</v>
      </c>
    </row>
    <row r="715" spans="2:18" ht="12" customHeight="1" x14ac:dyDescent="0.2">
      <c r="B715" s="172">
        <f t="shared" si="253"/>
        <v>710</v>
      </c>
      <c r="C715" s="126"/>
      <c r="D715" s="126"/>
      <c r="E715" s="130"/>
      <c r="F715" s="127" t="s">
        <v>200</v>
      </c>
      <c r="G715" s="193" t="s">
        <v>247</v>
      </c>
      <c r="H715" s="399">
        <f>2970-1000</f>
        <v>1970</v>
      </c>
      <c r="I715" s="399">
        <v>1970</v>
      </c>
      <c r="J715" s="966">
        <f t="shared" si="243"/>
        <v>100</v>
      </c>
      <c r="K715" s="338"/>
      <c r="L715" s="574"/>
      <c r="M715" s="574"/>
      <c r="N715" s="1037"/>
      <c r="O715" s="338"/>
      <c r="P715" s="169">
        <f>H715+L715</f>
        <v>1970</v>
      </c>
      <c r="Q715" s="169">
        <f t="shared" si="256"/>
        <v>1970</v>
      </c>
      <c r="R715" s="986">
        <f t="shared" si="244"/>
        <v>100</v>
      </c>
    </row>
    <row r="716" spans="2:18" ht="12" customHeight="1" x14ac:dyDescent="0.2">
      <c r="B716" s="172">
        <f t="shared" si="253"/>
        <v>711</v>
      </c>
      <c r="C716" s="126"/>
      <c r="D716" s="126"/>
      <c r="E716" s="130"/>
      <c r="F716" s="127" t="s">
        <v>216</v>
      </c>
      <c r="G716" s="193" t="s">
        <v>248</v>
      </c>
      <c r="H716" s="399">
        <f>1462+20</f>
        <v>1482</v>
      </c>
      <c r="I716" s="399">
        <v>1482</v>
      </c>
      <c r="J716" s="966">
        <f t="shared" si="243"/>
        <v>100</v>
      </c>
      <c r="K716" s="338"/>
      <c r="L716" s="574"/>
      <c r="M716" s="574"/>
      <c r="N716" s="1037"/>
      <c r="O716" s="338"/>
      <c r="P716" s="169">
        <f t="shared" ref="P716:P755" si="260">H716+L716</f>
        <v>1482</v>
      </c>
      <c r="Q716" s="169">
        <f t="shared" si="256"/>
        <v>1482</v>
      </c>
      <c r="R716" s="986">
        <f t="shared" si="244"/>
        <v>100</v>
      </c>
    </row>
    <row r="717" spans="2:18" x14ac:dyDescent="0.2">
      <c r="B717" s="172">
        <f t="shared" si="253"/>
        <v>712</v>
      </c>
      <c r="C717" s="126"/>
      <c r="D717" s="160"/>
      <c r="E717" s="162"/>
      <c r="F717" s="286" t="s">
        <v>607</v>
      </c>
      <c r="G717" s="201" t="s">
        <v>729</v>
      </c>
      <c r="H717" s="573"/>
      <c r="I717" s="573"/>
      <c r="J717" s="965"/>
      <c r="K717" s="338"/>
      <c r="L717" s="439">
        <f>3500-980</f>
        <v>2520</v>
      </c>
      <c r="M717" s="439">
        <v>2520</v>
      </c>
      <c r="N717" s="1040">
        <f t="shared" si="257"/>
        <v>100</v>
      </c>
      <c r="O717" s="338"/>
      <c r="P717" s="575">
        <f t="shared" si="260"/>
        <v>2520</v>
      </c>
      <c r="Q717" s="575">
        <f t="shared" si="256"/>
        <v>2520</v>
      </c>
      <c r="R717" s="1001">
        <f t="shared" si="244"/>
        <v>100</v>
      </c>
    </row>
    <row r="718" spans="2:18" ht="15" x14ac:dyDescent="0.25">
      <c r="B718" s="172">
        <f t="shared" si="253"/>
        <v>713</v>
      </c>
      <c r="C718" s="74"/>
      <c r="D718" s="558"/>
      <c r="E718" s="565" t="s">
        <v>689</v>
      </c>
      <c r="F718" s="562" t="s">
        <v>690</v>
      </c>
      <c r="G718" s="561"/>
      <c r="H718" s="567">
        <f>H719+H720+H721+H726</f>
        <v>38935</v>
      </c>
      <c r="I718" s="567">
        <f>I719+I720+I721+I726</f>
        <v>38935</v>
      </c>
      <c r="J718" s="965">
        <f t="shared" si="243"/>
        <v>100</v>
      </c>
      <c r="K718" s="334"/>
      <c r="L718" s="799">
        <f>L727</f>
        <v>7010</v>
      </c>
      <c r="M718" s="560">
        <f t="shared" ref="M718" si="261">M727</f>
        <v>7010</v>
      </c>
      <c r="N718" s="1037">
        <f t="shared" si="257"/>
        <v>100</v>
      </c>
      <c r="O718" s="334"/>
      <c r="P718" s="564">
        <f t="shared" si="260"/>
        <v>45945</v>
      </c>
      <c r="Q718" s="564">
        <f t="shared" si="256"/>
        <v>45945</v>
      </c>
      <c r="R718" s="1001">
        <f t="shared" si="244"/>
        <v>100</v>
      </c>
    </row>
    <row r="719" spans="2:18" x14ac:dyDescent="0.2">
      <c r="B719" s="172">
        <f t="shared" si="253"/>
        <v>714</v>
      </c>
      <c r="C719" s="142"/>
      <c r="D719" s="143"/>
      <c r="E719" s="170"/>
      <c r="F719" s="143" t="s">
        <v>211</v>
      </c>
      <c r="G719" s="201" t="s">
        <v>506</v>
      </c>
      <c r="H719" s="573">
        <f>21452+1073-3000-2590</f>
        <v>16935</v>
      </c>
      <c r="I719" s="573">
        <v>18571</v>
      </c>
      <c r="J719" s="965">
        <f t="shared" si="243"/>
        <v>109.66046648951875</v>
      </c>
      <c r="K719" s="336"/>
      <c r="L719" s="439"/>
      <c r="M719" s="439"/>
      <c r="N719" s="1040"/>
      <c r="O719" s="336"/>
      <c r="P719" s="575">
        <f t="shared" si="260"/>
        <v>16935</v>
      </c>
      <c r="Q719" s="575">
        <f t="shared" si="256"/>
        <v>18571</v>
      </c>
      <c r="R719" s="1001">
        <f t="shared" si="244"/>
        <v>109.66046648951875</v>
      </c>
    </row>
    <row r="720" spans="2:18" x14ac:dyDescent="0.2">
      <c r="B720" s="172">
        <f t="shared" si="253"/>
        <v>715</v>
      </c>
      <c r="C720" s="142"/>
      <c r="D720" s="143"/>
      <c r="E720" s="170"/>
      <c r="F720" s="143" t="s">
        <v>212</v>
      </c>
      <c r="G720" s="201" t="s">
        <v>259</v>
      </c>
      <c r="H720" s="573">
        <f>7770+389-910</f>
        <v>7249</v>
      </c>
      <c r="I720" s="573">
        <v>5613</v>
      </c>
      <c r="J720" s="965">
        <f t="shared" si="243"/>
        <v>77.431369844116432</v>
      </c>
      <c r="K720" s="336"/>
      <c r="L720" s="439"/>
      <c r="M720" s="439"/>
      <c r="N720" s="1040"/>
      <c r="O720" s="336"/>
      <c r="P720" s="575">
        <f t="shared" si="260"/>
        <v>7249</v>
      </c>
      <c r="Q720" s="575">
        <f t="shared" si="256"/>
        <v>5613</v>
      </c>
      <c r="R720" s="1001">
        <f t="shared" si="244"/>
        <v>77.431369844116432</v>
      </c>
    </row>
    <row r="721" spans="2:18" x14ac:dyDescent="0.2">
      <c r="B721" s="172">
        <f t="shared" si="253"/>
        <v>716</v>
      </c>
      <c r="C721" s="142"/>
      <c r="D721" s="143"/>
      <c r="E721" s="170"/>
      <c r="F721" s="143" t="s">
        <v>218</v>
      </c>
      <c r="G721" s="201" t="s">
        <v>341</v>
      </c>
      <c r="H721" s="573">
        <f>SUM(H722:H725)</f>
        <v>14621</v>
      </c>
      <c r="I721" s="573">
        <f>SUM(I722:I725)</f>
        <v>14621</v>
      </c>
      <c r="J721" s="965">
        <f t="shared" si="243"/>
        <v>100</v>
      </c>
      <c r="K721" s="336"/>
      <c r="L721" s="439"/>
      <c r="M721" s="439"/>
      <c r="N721" s="1040"/>
      <c r="O721" s="336"/>
      <c r="P721" s="575">
        <f t="shared" si="260"/>
        <v>14621</v>
      </c>
      <c r="Q721" s="575">
        <f t="shared" si="256"/>
        <v>14621</v>
      </c>
      <c r="R721" s="1001">
        <f t="shared" si="244"/>
        <v>100</v>
      </c>
    </row>
    <row r="722" spans="2:18" x14ac:dyDescent="0.2">
      <c r="B722" s="172">
        <f t="shared" si="253"/>
        <v>717</v>
      </c>
      <c r="C722" s="142"/>
      <c r="D722" s="143"/>
      <c r="E722" s="170"/>
      <c r="F722" s="127" t="s">
        <v>199</v>
      </c>
      <c r="G722" s="193" t="s">
        <v>319</v>
      </c>
      <c r="H722" s="446">
        <f>2623+1000+1800</f>
        <v>5423</v>
      </c>
      <c r="I722" s="446">
        <v>5423</v>
      </c>
      <c r="J722" s="979">
        <f t="shared" si="243"/>
        <v>100</v>
      </c>
      <c r="K722" s="336"/>
      <c r="L722" s="439"/>
      <c r="M722" s="439"/>
      <c r="N722" s="1040"/>
      <c r="O722" s="336"/>
      <c r="P722" s="169">
        <f t="shared" si="260"/>
        <v>5423</v>
      </c>
      <c r="Q722" s="169">
        <f t="shared" si="256"/>
        <v>5423</v>
      </c>
      <c r="R722" s="986">
        <f t="shared" si="244"/>
        <v>100</v>
      </c>
    </row>
    <row r="723" spans="2:18" x14ac:dyDescent="0.2">
      <c r="B723" s="172">
        <f t="shared" si="253"/>
        <v>718</v>
      </c>
      <c r="C723" s="142"/>
      <c r="D723" s="143"/>
      <c r="E723" s="170"/>
      <c r="F723" s="127" t="s">
        <v>200</v>
      </c>
      <c r="G723" s="193" t="s">
        <v>247</v>
      </c>
      <c r="H723" s="446">
        <f>3680+2000</f>
        <v>5680</v>
      </c>
      <c r="I723" s="446">
        <v>5680</v>
      </c>
      <c r="J723" s="979">
        <f t="shared" si="243"/>
        <v>100</v>
      </c>
      <c r="K723" s="336"/>
      <c r="L723" s="439"/>
      <c r="M723" s="439"/>
      <c r="N723" s="1040"/>
      <c r="O723" s="336"/>
      <c r="P723" s="169">
        <f t="shared" si="260"/>
        <v>5680</v>
      </c>
      <c r="Q723" s="169">
        <f t="shared" si="256"/>
        <v>5680</v>
      </c>
      <c r="R723" s="986">
        <f t="shared" si="244"/>
        <v>100</v>
      </c>
    </row>
    <row r="724" spans="2:18" x14ac:dyDescent="0.2">
      <c r="B724" s="172">
        <f t="shared" si="253"/>
        <v>719</v>
      </c>
      <c r="C724" s="142"/>
      <c r="D724" s="143"/>
      <c r="E724" s="170"/>
      <c r="F724" s="292" t="s">
        <v>214</v>
      </c>
      <c r="G724" s="204" t="s">
        <v>261</v>
      </c>
      <c r="H724" s="399">
        <f>80+700</f>
        <v>780</v>
      </c>
      <c r="I724" s="399">
        <v>780</v>
      </c>
      <c r="J724" s="966">
        <f t="shared" si="243"/>
        <v>100</v>
      </c>
      <c r="K724" s="336"/>
      <c r="L724" s="439"/>
      <c r="M724" s="439"/>
      <c r="N724" s="1040"/>
      <c r="O724" s="336"/>
      <c r="P724" s="169">
        <f t="shared" si="260"/>
        <v>780</v>
      </c>
      <c r="Q724" s="169">
        <f t="shared" si="256"/>
        <v>780</v>
      </c>
      <c r="R724" s="986">
        <f t="shared" si="244"/>
        <v>100</v>
      </c>
    </row>
    <row r="725" spans="2:18" x14ac:dyDescent="0.2">
      <c r="B725" s="172">
        <f t="shared" si="253"/>
        <v>720</v>
      </c>
      <c r="C725" s="142"/>
      <c r="D725" s="143"/>
      <c r="E725" s="170"/>
      <c r="F725" s="127" t="s">
        <v>216</v>
      </c>
      <c r="G725" s="193" t="s">
        <v>248</v>
      </c>
      <c r="H725" s="399">
        <f>1788+1000-50</f>
        <v>2738</v>
      </c>
      <c r="I725" s="399">
        <v>2738</v>
      </c>
      <c r="J725" s="966">
        <f t="shared" si="243"/>
        <v>100</v>
      </c>
      <c r="K725" s="336"/>
      <c r="L725" s="439"/>
      <c r="M725" s="439"/>
      <c r="N725" s="1040"/>
      <c r="O725" s="336"/>
      <c r="P725" s="169">
        <f t="shared" si="260"/>
        <v>2738</v>
      </c>
      <c r="Q725" s="169">
        <f t="shared" si="256"/>
        <v>2738</v>
      </c>
      <c r="R725" s="986">
        <f t="shared" si="244"/>
        <v>100</v>
      </c>
    </row>
    <row r="726" spans="2:18" x14ac:dyDescent="0.2">
      <c r="B726" s="172">
        <f t="shared" si="253"/>
        <v>721</v>
      </c>
      <c r="C726" s="142"/>
      <c r="D726" s="143"/>
      <c r="E726" s="170"/>
      <c r="F726" s="143" t="s">
        <v>217</v>
      </c>
      <c r="G726" s="201" t="s">
        <v>372</v>
      </c>
      <c r="H726" s="573">
        <f>30+100</f>
        <v>130</v>
      </c>
      <c r="I726" s="573">
        <v>130</v>
      </c>
      <c r="J726" s="965">
        <f t="shared" si="243"/>
        <v>100</v>
      </c>
      <c r="K726" s="336"/>
      <c r="L726" s="439"/>
      <c r="M726" s="439"/>
      <c r="N726" s="1040"/>
      <c r="O726" s="336"/>
      <c r="P726" s="575">
        <f t="shared" si="260"/>
        <v>130</v>
      </c>
      <c r="Q726" s="575">
        <f t="shared" si="256"/>
        <v>130</v>
      </c>
      <c r="R726" s="1001">
        <f t="shared" si="244"/>
        <v>100</v>
      </c>
    </row>
    <row r="727" spans="2:18" x14ac:dyDescent="0.2">
      <c r="B727" s="172">
        <f t="shared" si="253"/>
        <v>722</v>
      </c>
      <c r="C727" s="142"/>
      <c r="D727" s="698"/>
      <c r="E727" s="170"/>
      <c r="F727" s="166" t="s">
        <v>607</v>
      </c>
      <c r="G727" s="201" t="s">
        <v>608</v>
      </c>
      <c r="H727" s="573"/>
      <c r="I727" s="573"/>
      <c r="J727" s="965"/>
      <c r="K727" s="336"/>
      <c r="L727" s="439">
        <f>10000-2990</f>
        <v>7010</v>
      </c>
      <c r="M727" s="439">
        <v>7010</v>
      </c>
      <c r="N727" s="1040">
        <f t="shared" si="257"/>
        <v>100</v>
      </c>
      <c r="O727" s="336"/>
      <c r="P727" s="575">
        <f t="shared" si="260"/>
        <v>7010</v>
      </c>
      <c r="Q727" s="575">
        <f t="shared" si="256"/>
        <v>7010</v>
      </c>
      <c r="R727" s="1001">
        <f t="shared" si="244"/>
        <v>100</v>
      </c>
    </row>
    <row r="728" spans="2:18" ht="15" x14ac:dyDescent="0.25">
      <c r="B728" s="172">
        <f t="shared" si="253"/>
        <v>723</v>
      </c>
      <c r="C728" s="126"/>
      <c r="D728" s="265">
        <v>21</v>
      </c>
      <c r="E728" s="176"/>
      <c r="F728" s="147" t="s">
        <v>415</v>
      </c>
      <c r="G728" s="238"/>
      <c r="H728" s="427">
        <f>H729+H739</f>
        <v>93238</v>
      </c>
      <c r="I728" s="427">
        <f t="shared" ref="I728" si="262">I729+I739</f>
        <v>93238</v>
      </c>
      <c r="J728" s="965">
        <f t="shared" si="243"/>
        <v>100</v>
      </c>
      <c r="K728" s="341"/>
      <c r="L728" s="529">
        <f>L729+L739</f>
        <v>13472</v>
      </c>
      <c r="M728" s="529">
        <f t="shared" ref="M728" si="263">M729+M739</f>
        <v>11760</v>
      </c>
      <c r="N728" s="1040">
        <f t="shared" si="257"/>
        <v>87.292161520190021</v>
      </c>
      <c r="O728" s="341"/>
      <c r="P728" s="344">
        <f t="shared" si="260"/>
        <v>106710</v>
      </c>
      <c r="Q728" s="344">
        <f t="shared" si="256"/>
        <v>104998</v>
      </c>
      <c r="R728" s="1001">
        <f t="shared" si="244"/>
        <v>98.395651766469868</v>
      </c>
    </row>
    <row r="729" spans="2:18" ht="14.25" x14ac:dyDescent="0.2">
      <c r="B729" s="172">
        <f t="shared" si="253"/>
        <v>724</v>
      </c>
      <c r="C729" s="74"/>
      <c r="D729" s="558"/>
      <c r="E729" s="565" t="s">
        <v>688</v>
      </c>
      <c r="F729" s="562" t="s">
        <v>691</v>
      </c>
      <c r="G729" s="561"/>
      <c r="H729" s="563">
        <f>H730+H731+H732+H737</f>
        <v>42193</v>
      </c>
      <c r="I729" s="563">
        <f t="shared" ref="I729" si="264">I730+I731+I732+I737</f>
        <v>42193</v>
      </c>
      <c r="J729" s="995">
        <f t="shared" si="243"/>
        <v>100</v>
      </c>
      <c r="K729" s="334"/>
      <c r="L729" s="694">
        <f>L738</f>
        <v>13472</v>
      </c>
      <c r="M729" s="694">
        <f t="shared" ref="M729" si="265">M738</f>
        <v>11760</v>
      </c>
      <c r="N729" s="1040">
        <f t="shared" si="257"/>
        <v>87.292161520190021</v>
      </c>
      <c r="O729" s="334"/>
      <c r="P729" s="564">
        <f t="shared" si="260"/>
        <v>55665</v>
      </c>
      <c r="Q729" s="564">
        <f t="shared" si="256"/>
        <v>53953</v>
      </c>
      <c r="R729" s="1001">
        <f t="shared" si="244"/>
        <v>96.924458816132216</v>
      </c>
    </row>
    <row r="730" spans="2:18" ht="12" customHeight="1" x14ac:dyDescent="0.2">
      <c r="B730" s="172">
        <f t="shared" si="253"/>
        <v>725</v>
      </c>
      <c r="C730" s="126"/>
      <c r="D730" s="126"/>
      <c r="E730" s="130"/>
      <c r="F730" s="143" t="s">
        <v>211</v>
      </c>
      <c r="G730" s="201" t="s">
        <v>506</v>
      </c>
      <c r="H730" s="573">
        <f>17775+889-1348</f>
        <v>17316</v>
      </c>
      <c r="I730" s="573">
        <v>17356</v>
      </c>
      <c r="J730" s="965">
        <f t="shared" si="243"/>
        <v>100.23100023100022</v>
      </c>
      <c r="K730" s="338"/>
      <c r="L730" s="574"/>
      <c r="M730" s="574"/>
      <c r="N730" s="1037"/>
      <c r="O730" s="338"/>
      <c r="P730" s="575">
        <f t="shared" si="260"/>
        <v>17316</v>
      </c>
      <c r="Q730" s="575">
        <f t="shared" si="256"/>
        <v>17356</v>
      </c>
      <c r="R730" s="1001">
        <f t="shared" si="244"/>
        <v>100.23100023100022</v>
      </c>
    </row>
    <row r="731" spans="2:18" ht="12" customHeight="1" x14ac:dyDescent="0.2">
      <c r="B731" s="172">
        <f t="shared" si="253"/>
        <v>726</v>
      </c>
      <c r="C731" s="126"/>
      <c r="D731" s="126"/>
      <c r="E731" s="130"/>
      <c r="F731" s="143" t="s">
        <v>212</v>
      </c>
      <c r="G731" s="201" t="s">
        <v>259</v>
      </c>
      <c r="H731" s="573">
        <f>6218+311-869</f>
        <v>5660</v>
      </c>
      <c r="I731" s="573">
        <v>5620</v>
      </c>
      <c r="J731" s="965">
        <f t="shared" si="243"/>
        <v>99.293286219081267</v>
      </c>
      <c r="K731" s="338"/>
      <c r="L731" s="574"/>
      <c r="M731" s="574"/>
      <c r="N731" s="1037"/>
      <c r="O731" s="338"/>
      <c r="P731" s="575">
        <f t="shared" si="260"/>
        <v>5660</v>
      </c>
      <c r="Q731" s="575">
        <f t="shared" si="256"/>
        <v>5620</v>
      </c>
      <c r="R731" s="1001">
        <f t="shared" si="244"/>
        <v>99.293286219081267</v>
      </c>
    </row>
    <row r="732" spans="2:18" ht="12" customHeight="1" x14ac:dyDescent="0.2">
      <c r="B732" s="172">
        <f t="shared" si="253"/>
        <v>727</v>
      </c>
      <c r="C732" s="126"/>
      <c r="D732" s="126"/>
      <c r="E732" s="130"/>
      <c r="F732" s="143" t="s">
        <v>218</v>
      </c>
      <c r="G732" s="201" t="s">
        <v>341</v>
      </c>
      <c r="H732" s="573">
        <f>SUM(H733:H736)</f>
        <v>19000</v>
      </c>
      <c r="I732" s="573">
        <f t="shared" ref="I732" si="266">SUM(I733:I736)</f>
        <v>19000</v>
      </c>
      <c r="J732" s="965">
        <f t="shared" si="243"/>
        <v>100</v>
      </c>
      <c r="K732" s="338"/>
      <c r="L732" s="574"/>
      <c r="M732" s="574"/>
      <c r="N732" s="1037"/>
      <c r="O732" s="338"/>
      <c r="P732" s="575">
        <f t="shared" si="260"/>
        <v>19000</v>
      </c>
      <c r="Q732" s="575">
        <f t="shared" si="256"/>
        <v>19000</v>
      </c>
      <c r="R732" s="1001">
        <f t="shared" si="244"/>
        <v>100</v>
      </c>
    </row>
    <row r="733" spans="2:18" ht="12" customHeight="1" x14ac:dyDescent="0.2">
      <c r="B733" s="172">
        <f t="shared" si="253"/>
        <v>728</v>
      </c>
      <c r="C733" s="126"/>
      <c r="D733" s="126"/>
      <c r="E733" s="130"/>
      <c r="F733" s="127" t="s">
        <v>199</v>
      </c>
      <c r="G733" s="193" t="s">
        <v>319</v>
      </c>
      <c r="H733" s="399">
        <f>12840+900</f>
        <v>13740</v>
      </c>
      <c r="I733" s="399">
        <v>13740</v>
      </c>
      <c r="J733" s="966">
        <f t="shared" si="243"/>
        <v>100</v>
      </c>
      <c r="K733" s="338"/>
      <c r="L733" s="574"/>
      <c r="M733" s="574"/>
      <c r="N733" s="1037"/>
      <c r="O733" s="338"/>
      <c r="P733" s="169">
        <f t="shared" si="260"/>
        <v>13740</v>
      </c>
      <c r="Q733" s="169">
        <f t="shared" si="256"/>
        <v>13740</v>
      </c>
      <c r="R733" s="986">
        <f t="shared" si="244"/>
        <v>100</v>
      </c>
    </row>
    <row r="734" spans="2:18" ht="12" customHeight="1" x14ac:dyDescent="0.2">
      <c r="B734" s="172">
        <f t="shared" si="253"/>
        <v>729</v>
      </c>
      <c r="C734" s="126"/>
      <c r="D734" s="126"/>
      <c r="E734" s="130"/>
      <c r="F734" s="127" t="s">
        <v>200</v>
      </c>
      <c r="G734" s="193" t="s">
        <v>247</v>
      </c>
      <c r="H734" s="399">
        <f>1625+1200</f>
        <v>2825</v>
      </c>
      <c r="I734" s="399">
        <v>2825</v>
      </c>
      <c r="J734" s="966">
        <f t="shared" ref="J734:J791" si="267">I734/H734*100</f>
        <v>100</v>
      </c>
      <c r="K734" s="338"/>
      <c r="L734" s="574"/>
      <c r="M734" s="574"/>
      <c r="N734" s="1037"/>
      <c r="O734" s="338"/>
      <c r="P734" s="169">
        <f t="shared" si="260"/>
        <v>2825</v>
      </c>
      <c r="Q734" s="169">
        <f t="shared" si="256"/>
        <v>2825</v>
      </c>
      <c r="R734" s="986">
        <f t="shared" ref="R734:R791" si="268">Q734/P734*100</f>
        <v>100</v>
      </c>
    </row>
    <row r="735" spans="2:18" ht="12" customHeight="1" x14ac:dyDescent="0.2">
      <c r="B735" s="172">
        <f t="shared" si="253"/>
        <v>730</v>
      </c>
      <c r="C735" s="126"/>
      <c r="D735" s="126"/>
      <c r="E735" s="130"/>
      <c r="F735" s="127" t="s">
        <v>214</v>
      </c>
      <c r="G735" s="193" t="s">
        <v>261</v>
      </c>
      <c r="H735" s="399">
        <f>410+150</f>
        <v>560</v>
      </c>
      <c r="I735" s="399">
        <v>560</v>
      </c>
      <c r="J735" s="966">
        <f t="shared" si="267"/>
        <v>100</v>
      </c>
      <c r="K735" s="338"/>
      <c r="L735" s="574"/>
      <c r="M735" s="574"/>
      <c r="N735" s="1037"/>
      <c r="O735" s="338"/>
      <c r="P735" s="169">
        <f t="shared" si="260"/>
        <v>560</v>
      </c>
      <c r="Q735" s="169">
        <f t="shared" si="256"/>
        <v>560</v>
      </c>
      <c r="R735" s="986">
        <f t="shared" si="268"/>
        <v>100</v>
      </c>
    </row>
    <row r="736" spans="2:18" ht="12" customHeight="1" x14ac:dyDescent="0.2">
      <c r="B736" s="172">
        <f t="shared" si="253"/>
        <v>731</v>
      </c>
      <c r="C736" s="126"/>
      <c r="D736" s="126"/>
      <c r="E736" s="130"/>
      <c r="F736" s="127" t="s">
        <v>216</v>
      </c>
      <c r="G736" s="193" t="s">
        <v>248</v>
      </c>
      <c r="H736" s="399">
        <f>2175-300</f>
        <v>1875</v>
      </c>
      <c r="I736" s="399">
        <v>1875</v>
      </c>
      <c r="J736" s="966">
        <f t="shared" si="267"/>
        <v>100</v>
      </c>
      <c r="K736" s="338"/>
      <c r="L736" s="574"/>
      <c r="M736" s="574"/>
      <c r="N736" s="1037"/>
      <c r="O736" s="338"/>
      <c r="P736" s="169">
        <f t="shared" si="260"/>
        <v>1875</v>
      </c>
      <c r="Q736" s="169">
        <f t="shared" si="256"/>
        <v>1875</v>
      </c>
      <c r="R736" s="986">
        <f t="shared" si="268"/>
        <v>100</v>
      </c>
    </row>
    <row r="737" spans="2:18" x14ac:dyDescent="0.2">
      <c r="B737" s="172">
        <f t="shared" si="253"/>
        <v>732</v>
      </c>
      <c r="C737" s="126"/>
      <c r="D737" s="126"/>
      <c r="E737" s="130"/>
      <c r="F737" s="143" t="s">
        <v>217</v>
      </c>
      <c r="G737" s="201" t="s">
        <v>385</v>
      </c>
      <c r="H737" s="573">
        <f>100+117</f>
        <v>217</v>
      </c>
      <c r="I737" s="573">
        <v>217</v>
      </c>
      <c r="J737" s="965">
        <f t="shared" si="267"/>
        <v>100</v>
      </c>
      <c r="K737" s="338"/>
      <c r="L737" s="574"/>
      <c r="M737" s="574"/>
      <c r="N737" s="1037"/>
      <c r="O737" s="338"/>
      <c r="P737" s="575">
        <f t="shared" si="260"/>
        <v>217</v>
      </c>
      <c r="Q737" s="575">
        <f t="shared" si="256"/>
        <v>217</v>
      </c>
      <c r="R737" s="1001">
        <f t="shared" si="268"/>
        <v>100</v>
      </c>
    </row>
    <row r="738" spans="2:18" x14ac:dyDescent="0.2">
      <c r="B738" s="172">
        <f t="shared" si="253"/>
        <v>733</v>
      </c>
      <c r="C738" s="126"/>
      <c r="D738" s="126"/>
      <c r="E738" s="162"/>
      <c r="F738" s="286" t="s">
        <v>607</v>
      </c>
      <c r="G738" s="201" t="s">
        <v>655</v>
      </c>
      <c r="H738" s="573"/>
      <c r="I738" s="573"/>
      <c r="J738" s="965"/>
      <c r="K738" s="338"/>
      <c r="L738" s="439">
        <f>22000-8528</f>
        <v>13472</v>
      </c>
      <c r="M738" s="439">
        <v>11760</v>
      </c>
      <c r="N738" s="1040">
        <f t="shared" ref="N738:N752" si="269">M738/L738*100</f>
        <v>87.292161520190021</v>
      </c>
      <c r="O738" s="338"/>
      <c r="P738" s="575">
        <f t="shared" si="260"/>
        <v>13472</v>
      </c>
      <c r="Q738" s="575">
        <f t="shared" si="256"/>
        <v>11760</v>
      </c>
      <c r="R738" s="1001">
        <f t="shared" si="268"/>
        <v>87.292161520190021</v>
      </c>
    </row>
    <row r="739" spans="2:18" ht="14.25" x14ac:dyDescent="0.2">
      <c r="B739" s="172">
        <f t="shared" si="253"/>
        <v>734</v>
      </c>
      <c r="C739" s="74"/>
      <c r="D739" s="558"/>
      <c r="E739" s="565" t="s">
        <v>689</v>
      </c>
      <c r="F739" s="562" t="s">
        <v>690</v>
      </c>
      <c r="G739" s="561"/>
      <c r="H739" s="563">
        <f>H740+H741+H742+H747</f>
        <v>51045</v>
      </c>
      <c r="I739" s="563">
        <f t="shared" ref="I739" si="270">I740+I741+I742+I747</f>
        <v>51045</v>
      </c>
      <c r="J739" s="995">
        <f t="shared" si="267"/>
        <v>100</v>
      </c>
      <c r="K739" s="334"/>
      <c r="L739" s="560"/>
      <c r="M739" s="560"/>
      <c r="N739" s="1037"/>
      <c r="O739" s="334"/>
      <c r="P739" s="564">
        <f t="shared" si="260"/>
        <v>51045</v>
      </c>
      <c r="Q739" s="564">
        <f t="shared" si="256"/>
        <v>51045</v>
      </c>
      <c r="R739" s="1001">
        <f t="shared" si="268"/>
        <v>100</v>
      </c>
    </row>
    <row r="740" spans="2:18" ht="12" customHeight="1" x14ac:dyDescent="0.2">
      <c r="B740" s="172">
        <f t="shared" si="253"/>
        <v>735</v>
      </c>
      <c r="C740" s="126"/>
      <c r="D740" s="126"/>
      <c r="E740" s="130"/>
      <c r="F740" s="143" t="s">
        <v>211</v>
      </c>
      <c r="G740" s="201" t="s">
        <v>506</v>
      </c>
      <c r="H740" s="573">
        <f>21945+1097-1171</f>
        <v>21871</v>
      </c>
      <c r="I740" s="573">
        <v>22117</v>
      </c>
      <c r="J740" s="965">
        <f t="shared" si="267"/>
        <v>101.12477710209866</v>
      </c>
      <c r="K740" s="338"/>
      <c r="L740" s="574"/>
      <c r="M740" s="574"/>
      <c r="N740" s="1037"/>
      <c r="O740" s="338"/>
      <c r="P740" s="575">
        <f t="shared" si="260"/>
        <v>21871</v>
      </c>
      <c r="Q740" s="575">
        <f t="shared" si="256"/>
        <v>22117</v>
      </c>
      <c r="R740" s="1001">
        <f t="shared" si="268"/>
        <v>101.12477710209866</v>
      </c>
    </row>
    <row r="741" spans="2:18" ht="12" customHeight="1" x14ac:dyDescent="0.2">
      <c r="B741" s="172">
        <f t="shared" si="253"/>
        <v>736</v>
      </c>
      <c r="C741" s="126"/>
      <c r="D741" s="126"/>
      <c r="E741" s="130"/>
      <c r="F741" s="143" t="s">
        <v>212</v>
      </c>
      <c r="G741" s="201" t="s">
        <v>259</v>
      </c>
      <c r="H741" s="573">
        <f>7665+383-1026</f>
        <v>7022</v>
      </c>
      <c r="I741" s="573">
        <v>6776</v>
      </c>
      <c r="J741" s="965">
        <f t="shared" si="267"/>
        <v>96.496724579891762</v>
      </c>
      <c r="K741" s="338"/>
      <c r="L741" s="574"/>
      <c r="M741" s="574"/>
      <c r="N741" s="1037"/>
      <c r="O741" s="338"/>
      <c r="P741" s="575">
        <f t="shared" si="260"/>
        <v>7022</v>
      </c>
      <c r="Q741" s="575">
        <f t="shared" si="256"/>
        <v>6776</v>
      </c>
      <c r="R741" s="1001">
        <f t="shared" si="268"/>
        <v>96.496724579891762</v>
      </c>
    </row>
    <row r="742" spans="2:18" ht="12" customHeight="1" x14ac:dyDescent="0.2">
      <c r="B742" s="172">
        <f t="shared" si="253"/>
        <v>737</v>
      </c>
      <c r="C742" s="126"/>
      <c r="D742" s="126"/>
      <c r="E742" s="130"/>
      <c r="F742" s="143" t="s">
        <v>218</v>
      </c>
      <c r="G742" s="201" t="s">
        <v>341</v>
      </c>
      <c r="H742" s="573">
        <f>SUM(H743:H746)</f>
        <v>21955</v>
      </c>
      <c r="I742" s="573">
        <f t="shared" ref="I742" si="271">SUM(I743:I746)</f>
        <v>21955</v>
      </c>
      <c r="J742" s="965">
        <f t="shared" si="267"/>
        <v>100</v>
      </c>
      <c r="K742" s="338"/>
      <c r="L742" s="574"/>
      <c r="M742" s="574"/>
      <c r="N742" s="1037"/>
      <c r="O742" s="338"/>
      <c r="P742" s="575">
        <f t="shared" si="260"/>
        <v>21955</v>
      </c>
      <c r="Q742" s="575">
        <f t="shared" si="256"/>
        <v>21955</v>
      </c>
      <c r="R742" s="1001">
        <f t="shared" si="268"/>
        <v>100</v>
      </c>
    </row>
    <row r="743" spans="2:18" ht="12" customHeight="1" x14ac:dyDescent="0.2">
      <c r="B743" s="172">
        <f t="shared" si="253"/>
        <v>738</v>
      </c>
      <c r="C743" s="126"/>
      <c r="D743" s="126"/>
      <c r="E743" s="130"/>
      <c r="F743" s="127" t="s">
        <v>199</v>
      </c>
      <c r="G743" s="193" t="s">
        <v>319</v>
      </c>
      <c r="H743" s="399">
        <f>15150+900</f>
        <v>16050</v>
      </c>
      <c r="I743" s="399">
        <v>16050</v>
      </c>
      <c r="J743" s="966">
        <f t="shared" si="267"/>
        <v>100</v>
      </c>
      <c r="K743" s="338"/>
      <c r="L743" s="574"/>
      <c r="M743" s="574"/>
      <c r="N743" s="1037"/>
      <c r="O743" s="338"/>
      <c r="P743" s="169">
        <f t="shared" si="260"/>
        <v>16050</v>
      </c>
      <c r="Q743" s="169">
        <f t="shared" si="256"/>
        <v>16050</v>
      </c>
      <c r="R743" s="986">
        <f t="shared" si="268"/>
        <v>100</v>
      </c>
    </row>
    <row r="744" spans="2:18" ht="12" customHeight="1" x14ac:dyDescent="0.2">
      <c r="B744" s="172">
        <f t="shared" si="253"/>
        <v>739</v>
      </c>
      <c r="C744" s="126"/>
      <c r="D744" s="126"/>
      <c r="E744" s="130"/>
      <c r="F744" s="127" t="s">
        <v>200</v>
      </c>
      <c r="G744" s="193" t="s">
        <v>247</v>
      </c>
      <c r="H744" s="399">
        <f>1725+1200</f>
        <v>2925</v>
      </c>
      <c r="I744" s="399">
        <v>2925</v>
      </c>
      <c r="J744" s="966">
        <f t="shared" si="267"/>
        <v>100</v>
      </c>
      <c r="K744" s="338"/>
      <c r="L744" s="574"/>
      <c r="M744" s="574"/>
      <c r="N744" s="1037"/>
      <c r="O744" s="338"/>
      <c r="P744" s="169">
        <f t="shared" si="260"/>
        <v>2925</v>
      </c>
      <c r="Q744" s="169">
        <f t="shared" si="256"/>
        <v>2925</v>
      </c>
      <c r="R744" s="986">
        <f t="shared" si="268"/>
        <v>100</v>
      </c>
    </row>
    <row r="745" spans="2:18" ht="12" customHeight="1" x14ac:dyDescent="0.2">
      <c r="B745" s="172">
        <f t="shared" si="253"/>
        <v>740</v>
      </c>
      <c r="C745" s="126"/>
      <c r="D745" s="126"/>
      <c r="E745" s="130"/>
      <c r="F745" s="127" t="s">
        <v>214</v>
      </c>
      <c r="G745" s="193" t="s">
        <v>261</v>
      </c>
      <c r="H745" s="399">
        <f>410+150</f>
        <v>560</v>
      </c>
      <c r="I745" s="399">
        <v>560</v>
      </c>
      <c r="J745" s="966">
        <f t="shared" si="267"/>
        <v>100</v>
      </c>
      <c r="K745" s="338"/>
      <c r="L745" s="574"/>
      <c r="M745" s="574"/>
      <c r="N745" s="1037"/>
      <c r="O745" s="338"/>
      <c r="P745" s="169">
        <f t="shared" si="260"/>
        <v>560</v>
      </c>
      <c r="Q745" s="169">
        <f t="shared" si="256"/>
        <v>560</v>
      </c>
      <c r="R745" s="986">
        <f t="shared" si="268"/>
        <v>100</v>
      </c>
    </row>
    <row r="746" spans="2:18" ht="12" customHeight="1" x14ac:dyDescent="0.2">
      <c r="B746" s="172">
        <f t="shared" si="253"/>
        <v>741</v>
      </c>
      <c r="C746" s="126"/>
      <c r="D746" s="126"/>
      <c r="E746" s="130"/>
      <c r="F746" s="127" t="s">
        <v>216</v>
      </c>
      <c r="G746" s="193" t="s">
        <v>248</v>
      </c>
      <c r="H746" s="399">
        <v>2420</v>
      </c>
      <c r="I746" s="399">
        <v>2420</v>
      </c>
      <c r="J746" s="966">
        <f t="shared" si="267"/>
        <v>100</v>
      </c>
      <c r="K746" s="338"/>
      <c r="L746" s="574"/>
      <c r="M746" s="574"/>
      <c r="N746" s="1037"/>
      <c r="O746" s="338"/>
      <c r="P746" s="169">
        <f t="shared" si="260"/>
        <v>2420</v>
      </c>
      <c r="Q746" s="169">
        <f t="shared" si="256"/>
        <v>2420</v>
      </c>
      <c r="R746" s="986">
        <f t="shared" si="268"/>
        <v>100</v>
      </c>
    </row>
    <row r="747" spans="2:18" x14ac:dyDescent="0.2">
      <c r="B747" s="172">
        <f t="shared" si="253"/>
        <v>742</v>
      </c>
      <c r="C747" s="126"/>
      <c r="D747" s="126"/>
      <c r="E747" s="130"/>
      <c r="F747" s="143" t="s">
        <v>217</v>
      </c>
      <c r="G747" s="201" t="s">
        <v>385</v>
      </c>
      <c r="H747" s="573">
        <f>100+97</f>
        <v>197</v>
      </c>
      <c r="I747" s="573">
        <v>197</v>
      </c>
      <c r="J747" s="965">
        <f t="shared" si="267"/>
        <v>100</v>
      </c>
      <c r="K747" s="338"/>
      <c r="L747" s="574"/>
      <c r="M747" s="574"/>
      <c r="N747" s="1037"/>
      <c r="O747" s="338"/>
      <c r="P747" s="575">
        <f t="shared" si="260"/>
        <v>197</v>
      </c>
      <c r="Q747" s="575">
        <f t="shared" si="256"/>
        <v>197</v>
      </c>
      <c r="R747" s="1001">
        <f t="shared" si="268"/>
        <v>100</v>
      </c>
    </row>
    <row r="748" spans="2:18" ht="15" customHeight="1" x14ac:dyDescent="0.25">
      <c r="B748" s="172">
        <f t="shared" si="253"/>
        <v>743</v>
      </c>
      <c r="C748" s="126"/>
      <c r="D748" s="264">
        <v>22</v>
      </c>
      <c r="E748" s="176"/>
      <c r="F748" s="147" t="s">
        <v>416</v>
      </c>
      <c r="G748" s="238"/>
      <c r="H748" s="427">
        <f>H749+H753</f>
        <v>112000</v>
      </c>
      <c r="I748" s="427">
        <f t="shared" ref="I748" si="272">I749+I753</f>
        <v>112000</v>
      </c>
      <c r="J748" s="965">
        <f t="shared" si="267"/>
        <v>100</v>
      </c>
      <c r="K748" s="341"/>
      <c r="L748" s="529">
        <f>L749+L753</f>
        <v>29200</v>
      </c>
      <c r="M748" s="529">
        <f t="shared" ref="M748" si="273">M749+M753</f>
        <v>29200</v>
      </c>
      <c r="N748" s="1040">
        <f t="shared" si="269"/>
        <v>100</v>
      </c>
      <c r="O748" s="341"/>
      <c r="P748" s="344">
        <f t="shared" si="260"/>
        <v>141200</v>
      </c>
      <c r="Q748" s="344">
        <f t="shared" si="256"/>
        <v>141200</v>
      </c>
      <c r="R748" s="1001">
        <f t="shared" si="268"/>
        <v>100</v>
      </c>
    </row>
    <row r="749" spans="2:18" ht="14.25" x14ac:dyDescent="0.2">
      <c r="B749" s="172">
        <f t="shared" si="253"/>
        <v>744</v>
      </c>
      <c r="C749" s="74"/>
      <c r="D749" s="558"/>
      <c r="E749" s="565" t="s">
        <v>688</v>
      </c>
      <c r="F749" s="562" t="s">
        <v>691</v>
      </c>
      <c r="G749" s="561"/>
      <c r="H749" s="563">
        <f>H750</f>
        <v>44800</v>
      </c>
      <c r="I749" s="563">
        <f t="shared" ref="I749:I750" si="274">I750</f>
        <v>44800</v>
      </c>
      <c r="J749" s="995">
        <f t="shared" si="267"/>
        <v>100</v>
      </c>
      <c r="K749" s="334"/>
      <c r="L749" s="694">
        <f>L752</f>
        <v>29200</v>
      </c>
      <c r="M749" s="694">
        <f t="shared" ref="M749" si="275">M752</f>
        <v>29200</v>
      </c>
      <c r="N749" s="1040">
        <f t="shared" si="269"/>
        <v>100</v>
      </c>
      <c r="O749" s="334"/>
      <c r="P749" s="564">
        <f t="shared" si="260"/>
        <v>74000</v>
      </c>
      <c r="Q749" s="564">
        <f t="shared" si="256"/>
        <v>74000</v>
      </c>
      <c r="R749" s="1001">
        <f t="shared" si="268"/>
        <v>100</v>
      </c>
    </row>
    <row r="750" spans="2:18" ht="15" customHeight="1" x14ac:dyDescent="0.2">
      <c r="B750" s="172">
        <f t="shared" si="253"/>
        <v>745</v>
      </c>
      <c r="C750" s="126"/>
      <c r="D750" s="126"/>
      <c r="E750" s="130"/>
      <c r="F750" s="143" t="s">
        <v>218</v>
      </c>
      <c r="G750" s="201" t="s">
        <v>341</v>
      </c>
      <c r="H750" s="573">
        <f>H751</f>
        <v>44800</v>
      </c>
      <c r="I750" s="573">
        <f t="shared" si="274"/>
        <v>44800</v>
      </c>
      <c r="J750" s="965">
        <f t="shared" si="267"/>
        <v>100</v>
      </c>
      <c r="K750" s="338"/>
      <c r="L750" s="574"/>
      <c r="M750" s="574"/>
      <c r="N750" s="1037"/>
      <c r="O750" s="338"/>
      <c r="P750" s="575">
        <f t="shared" si="260"/>
        <v>44800</v>
      </c>
      <c r="Q750" s="575">
        <f t="shared" si="256"/>
        <v>44800</v>
      </c>
      <c r="R750" s="1001">
        <f t="shared" si="268"/>
        <v>100</v>
      </c>
    </row>
    <row r="751" spans="2:18" ht="12" customHeight="1" x14ac:dyDescent="0.2">
      <c r="B751" s="172">
        <f t="shared" ref="B751:B791" si="276">B750+1</f>
        <v>746</v>
      </c>
      <c r="C751" s="126"/>
      <c r="D751" s="126"/>
      <c r="E751" s="130"/>
      <c r="F751" s="127" t="s">
        <v>216</v>
      </c>
      <c r="G751" s="193" t="s">
        <v>417</v>
      </c>
      <c r="H751" s="399">
        <v>44800</v>
      </c>
      <c r="I751" s="399">
        <v>44800</v>
      </c>
      <c r="J751" s="966">
        <f t="shared" si="267"/>
        <v>100</v>
      </c>
      <c r="K751" s="338"/>
      <c r="L751" s="574"/>
      <c r="M751" s="574"/>
      <c r="N751" s="1037"/>
      <c r="O751" s="338"/>
      <c r="P751" s="169">
        <f t="shared" si="260"/>
        <v>44800</v>
      </c>
      <c r="Q751" s="169">
        <f t="shared" si="256"/>
        <v>44800</v>
      </c>
      <c r="R751" s="986">
        <f t="shared" si="268"/>
        <v>100</v>
      </c>
    </row>
    <row r="752" spans="2:18" ht="12" customHeight="1" x14ac:dyDescent="0.2">
      <c r="B752" s="172">
        <f t="shared" si="276"/>
        <v>747</v>
      </c>
      <c r="C752" s="126"/>
      <c r="D752" s="126"/>
      <c r="E752" s="130"/>
      <c r="F752" s="286" t="s">
        <v>607</v>
      </c>
      <c r="G752" s="201" t="s">
        <v>715</v>
      </c>
      <c r="H752" s="399"/>
      <c r="I752" s="399"/>
      <c r="J752" s="966"/>
      <c r="K752" s="338"/>
      <c r="L752" s="439">
        <f>35000-5800</f>
        <v>29200</v>
      </c>
      <c r="M752" s="439">
        <v>29200</v>
      </c>
      <c r="N752" s="1040">
        <f t="shared" si="269"/>
        <v>100</v>
      </c>
      <c r="O752" s="338"/>
      <c r="P752" s="575">
        <f t="shared" si="260"/>
        <v>29200</v>
      </c>
      <c r="Q752" s="575">
        <f t="shared" si="256"/>
        <v>29200</v>
      </c>
      <c r="R752" s="1001">
        <f t="shared" si="268"/>
        <v>100</v>
      </c>
    </row>
    <row r="753" spans="2:18" ht="15" x14ac:dyDescent="0.25">
      <c r="B753" s="172">
        <f t="shared" si="276"/>
        <v>748</v>
      </c>
      <c r="C753" s="74"/>
      <c r="D753" s="558"/>
      <c r="E753" s="565" t="s">
        <v>689</v>
      </c>
      <c r="F753" s="562" t="s">
        <v>690</v>
      </c>
      <c r="G753" s="561"/>
      <c r="H753" s="559">
        <f>H754</f>
        <v>67200</v>
      </c>
      <c r="I753" s="559">
        <f t="shared" ref="I753" si="277">I754</f>
        <v>67200</v>
      </c>
      <c r="J753" s="995">
        <f t="shared" si="267"/>
        <v>100</v>
      </c>
      <c r="K753" s="334"/>
      <c r="L753" s="560"/>
      <c r="M753" s="560"/>
      <c r="N753" s="1037"/>
      <c r="O753" s="334"/>
      <c r="P753" s="564">
        <f t="shared" si="260"/>
        <v>67200</v>
      </c>
      <c r="Q753" s="564">
        <f t="shared" si="256"/>
        <v>67200</v>
      </c>
      <c r="R753" s="1001">
        <f t="shared" si="268"/>
        <v>100</v>
      </c>
    </row>
    <row r="754" spans="2:18" ht="12" customHeight="1" x14ac:dyDescent="0.2">
      <c r="B754" s="172">
        <f t="shared" si="276"/>
        <v>749</v>
      </c>
      <c r="C754" s="126"/>
      <c r="D754" s="126"/>
      <c r="E754" s="130"/>
      <c r="F754" s="143" t="s">
        <v>218</v>
      </c>
      <c r="G754" s="201" t="s">
        <v>341</v>
      </c>
      <c r="H754" s="573">
        <f>SUM(H755:H755)</f>
        <v>67200</v>
      </c>
      <c r="I754" s="573">
        <f t="shared" ref="I754" si="278">SUM(I755:I755)</f>
        <v>67200</v>
      </c>
      <c r="J754" s="965">
        <f t="shared" si="267"/>
        <v>100</v>
      </c>
      <c r="K754" s="338"/>
      <c r="L754" s="574"/>
      <c r="M754" s="574"/>
      <c r="N754" s="1037"/>
      <c r="O754" s="338"/>
      <c r="P754" s="575">
        <f t="shared" si="260"/>
        <v>67200</v>
      </c>
      <c r="Q754" s="575">
        <f t="shared" si="256"/>
        <v>67200</v>
      </c>
      <c r="R754" s="1001">
        <f t="shared" si="268"/>
        <v>100</v>
      </c>
    </row>
    <row r="755" spans="2:18" ht="12" customHeight="1" x14ac:dyDescent="0.2">
      <c r="B755" s="172">
        <f t="shared" si="276"/>
        <v>750</v>
      </c>
      <c r="C755" s="126"/>
      <c r="D755" s="126"/>
      <c r="E755" s="130"/>
      <c r="F755" s="127" t="s">
        <v>216</v>
      </c>
      <c r="G755" s="193" t="s">
        <v>248</v>
      </c>
      <c r="H755" s="399">
        <v>67200</v>
      </c>
      <c r="I755" s="399">
        <v>67200</v>
      </c>
      <c r="J755" s="966">
        <f t="shared" si="267"/>
        <v>100</v>
      </c>
      <c r="K755" s="338"/>
      <c r="L755" s="574"/>
      <c r="M755" s="574"/>
      <c r="N755" s="1037"/>
      <c r="O755" s="338"/>
      <c r="P755" s="169">
        <f t="shared" si="260"/>
        <v>67200</v>
      </c>
      <c r="Q755" s="169">
        <f t="shared" si="256"/>
        <v>67200</v>
      </c>
      <c r="R755" s="986">
        <f t="shared" si="268"/>
        <v>100</v>
      </c>
    </row>
    <row r="756" spans="2:18" x14ac:dyDescent="0.2">
      <c r="B756" s="172">
        <f t="shared" si="276"/>
        <v>751</v>
      </c>
      <c r="C756" s="126"/>
      <c r="D756" s="126"/>
      <c r="E756" s="130"/>
      <c r="F756" s="143"/>
      <c r="G756" s="201"/>
      <c r="H756" s="573"/>
      <c r="I756" s="573"/>
      <c r="J756" s="965"/>
      <c r="K756" s="338"/>
      <c r="L756" s="574"/>
      <c r="M756" s="574"/>
      <c r="N756" s="1037"/>
      <c r="O756" s="338"/>
      <c r="P756" s="575"/>
      <c r="Q756" s="575"/>
      <c r="R756" s="1001"/>
    </row>
    <row r="757" spans="2:18" ht="12" customHeight="1" x14ac:dyDescent="0.2">
      <c r="B757" s="172">
        <f t="shared" si="276"/>
        <v>752</v>
      </c>
      <c r="C757" s="126"/>
      <c r="D757" s="126"/>
      <c r="E757" s="130"/>
      <c r="F757" s="547">
        <v>640</v>
      </c>
      <c r="G757" s="288" t="s">
        <v>376</v>
      </c>
      <c r="H757" s="434">
        <v>23391</v>
      </c>
      <c r="I757" s="434">
        <v>23391</v>
      </c>
      <c r="J757" s="965">
        <f t="shared" si="267"/>
        <v>100</v>
      </c>
      <c r="K757" s="128"/>
      <c r="L757" s="438"/>
      <c r="M757" s="438"/>
      <c r="N757" s="1037"/>
      <c r="O757" s="128"/>
      <c r="P757" s="289">
        <f>H757+L757</f>
        <v>23391</v>
      </c>
      <c r="Q757" s="289">
        <f t="shared" ref="Q757:Q760" si="279">I757+M757</f>
        <v>23391</v>
      </c>
      <c r="R757" s="1001">
        <f t="shared" si="268"/>
        <v>100</v>
      </c>
    </row>
    <row r="758" spans="2:18" ht="12" customHeight="1" x14ac:dyDescent="0.2">
      <c r="B758" s="172">
        <f t="shared" si="276"/>
        <v>753</v>
      </c>
      <c r="C758" s="126"/>
      <c r="D758" s="126"/>
      <c r="E758" s="130"/>
      <c r="F758" s="547">
        <v>640</v>
      </c>
      <c r="G758" s="288" t="s">
        <v>377</v>
      </c>
      <c r="H758" s="434">
        <v>19514</v>
      </c>
      <c r="I758" s="434">
        <v>19514</v>
      </c>
      <c r="J758" s="965">
        <f t="shared" si="267"/>
        <v>100</v>
      </c>
      <c r="K758" s="128"/>
      <c r="L758" s="438"/>
      <c r="M758" s="438"/>
      <c r="N758" s="1037"/>
      <c r="O758" s="128"/>
      <c r="P758" s="289">
        <f>H758+L758</f>
        <v>19514</v>
      </c>
      <c r="Q758" s="289">
        <f t="shared" si="279"/>
        <v>19514</v>
      </c>
      <c r="R758" s="1001">
        <f t="shared" si="268"/>
        <v>100</v>
      </c>
    </row>
    <row r="759" spans="2:18" ht="12" customHeight="1" x14ac:dyDescent="0.2">
      <c r="B759" s="172">
        <f t="shared" si="276"/>
        <v>754</v>
      </c>
      <c r="C759" s="126"/>
      <c r="D759" s="126"/>
      <c r="E759" s="130"/>
      <c r="F759" s="547">
        <v>640</v>
      </c>
      <c r="G759" s="288" t="s">
        <v>509</v>
      </c>
      <c r="H759" s="434">
        <v>8400</v>
      </c>
      <c r="I759" s="434">
        <v>8400</v>
      </c>
      <c r="J759" s="965">
        <f t="shared" si="267"/>
        <v>100</v>
      </c>
      <c r="K759" s="128"/>
      <c r="L759" s="438"/>
      <c r="M759" s="438"/>
      <c r="N759" s="1037"/>
      <c r="O759" s="128"/>
      <c r="P759" s="289">
        <f>H759+L759</f>
        <v>8400</v>
      </c>
      <c r="Q759" s="289">
        <f t="shared" si="279"/>
        <v>8400</v>
      </c>
      <c r="R759" s="1001">
        <f t="shared" si="268"/>
        <v>100</v>
      </c>
    </row>
    <row r="760" spans="2:18" ht="12" customHeight="1" x14ac:dyDescent="0.2">
      <c r="B760" s="172">
        <f t="shared" si="276"/>
        <v>755</v>
      </c>
      <c r="C760" s="126"/>
      <c r="D760" s="126"/>
      <c r="E760" s="130"/>
      <c r="F760" s="547">
        <v>640</v>
      </c>
      <c r="G760" s="288" t="s">
        <v>510</v>
      </c>
      <c r="H760" s="434">
        <v>5557</v>
      </c>
      <c r="I760" s="434">
        <v>5557</v>
      </c>
      <c r="J760" s="965">
        <f t="shared" si="267"/>
        <v>100</v>
      </c>
      <c r="K760" s="128"/>
      <c r="L760" s="438"/>
      <c r="M760" s="438"/>
      <c r="N760" s="1037"/>
      <c r="O760" s="128"/>
      <c r="P760" s="289">
        <f>H760+L760</f>
        <v>5557</v>
      </c>
      <c r="Q760" s="289">
        <f t="shared" si="279"/>
        <v>5557</v>
      </c>
      <c r="R760" s="1001">
        <f t="shared" si="268"/>
        <v>100</v>
      </c>
    </row>
    <row r="761" spans="2:18" x14ac:dyDescent="0.2">
      <c r="B761" s="172">
        <f t="shared" si="276"/>
        <v>756</v>
      </c>
      <c r="C761" s="126"/>
      <c r="D761" s="126"/>
      <c r="E761" s="130"/>
      <c r="F761" s="130"/>
      <c r="G761" s="201"/>
      <c r="H761" s="570"/>
      <c r="I761" s="570"/>
      <c r="J761" s="966"/>
      <c r="K761" s="128"/>
      <c r="L761" s="139"/>
      <c r="M761" s="139"/>
      <c r="N761" s="1037"/>
      <c r="O761" s="128"/>
      <c r="P761" s="169"/>
      <c r="Q761" s="169"/>
      <c r="R761" s="986"/>
    </row>
    <row r="762" spans="2:18" ht="15.75" x14ac:dyDescent="0.25">
      <c r="B762" s="172">
        <f t="shared" si="276"/>
        <v>757</v>
      </c>
      <c r="C762" s="23">
        <v>5</v>
      </c>
      <c r="D762" s="123" t="s">
        <v>223</v>
      </c>
      <c r="E762" s="24"/>
      <c r="F762" s="24"/>
      <c r="G762" s="192"/>
      <c r="H762" s="415">
        <f>H763+H776+H780+H781</f>
        <v>243610</v>
      </c>
      <c r="I762" s="415">
        <f t="shared" ref="I762" si="280">I763+I776+I780+I781</f>
        <v>243677</v>
      </c>
      <c r="J762" s="972">
        <f t="shared" si="267"/>
        <v>100.02750297606831</v>
      </c>
      <c r="K762" s="346"/>
      <c r="L762" s="197"/>
      <c r="M762" s="197"/>
      <c r="N762" s="1034"/>
      <c r="O762" s="346"/>
      <c r="P762" s="389">
        <f>H762+L762</f>
        <v>243610</v>
      </c>
      <c r="Q762" s="389">
        <f t="shared" ref="Q762:Q779" si="281">I762+M762</f>
        <v>243677</v>
      </c>
      <c r="R762" s="981">
        <f t="shared" si="268"/>
        <v>100.02750297606831</v>
      </c>
    </row>
    <row r="763" spans="2:18" ht="15" x14ac:dyDescent="0.25">
      <c r="B763" s="172">
        <f t="shared" si="276"/>
        <v>758</v>
      </c>
      <c r="C763" s="142"/>
      <c r="D763" s="177"/>
      <c r="E763" s="557" t="s">
        <v>679</v>
      </c>
      <c r="F763" s="232" t="s">
        <v>254</v>
      </c>
      <c r="G763" s="233"/>
      <c r="H763" s="435">
        <f>H764+H765+H766+H774</f>
        <v>195749</v>
      </c>
      <c r="I763" s="435">
        <f>I764+I765+I766+I774+I775</f>
        <v>198537</v>
      </c>
      <c r="J763" s="965">
        <f t="shared" si="267"/>
        <v>101.42427292093446</v>
      </c>
      <c r="K763" s="332"/>
      <c r="L763" s="431"/>
      <c r="M763" s="431"/>
      <c r="N763" s="1035"/>
      <c r="O763" s="332"/>
      <c r="P763" s="333">
        <f>H763+L763</f>
        <v>195749</v>
      </c>
      <c r="Q763" s="333">
        <f t="shared" si="281"/>
        <v>198537</v>
      </c>
      <c r="R763" s="982">
        <f t="shared" si="268"/>
        <v>101.42427292093446</v>
      </c>
    </row>
    <row r="764" spans="2:18" ht="12" customHeight="1" x14ac:dyDescent="0.2">
      <c r="B764" s="172">
        <f t="shared" si="276"/>
        <v>759</v>
      </c>
      <c r="C764" s="142"/>
      <c r="D764" s="143"/>
      <c r="E764" s="143"/>
      <c r="F764" s="143" t="s">
        <v>211</v>
      </c>
      <c r="G764" s="201" t="s">
        <v>506</v>
      </c>
      <c r="H764" s="573">
        <f>109730-11000-1000</f>
        <v>97730</v>
      </c>
      <c r="I764" s="573">
        <v>99474</v>
      </c>
      <c r="J764" s="965">
        <f t="shared" si="267"/>
        <v>101.78450833930215</v>
      </c>
      <c r="K764" s="336"/>
      <c r="L764" s="400"/>
      <c r="M764" s="400"/>
      <c r="N764" s="1035"/>
      <c r="O764" s="336"/>
      <c r="P764" s="167">
        <f>H764+L764</f>
        <v>97730</v>
      </c>
      <c r="Q764" s="167">
        <f t="shared" si="281"/>
        <v>99474</v>
      </c>
      <c r="R764" s="982">
        <f t="shared" si="268"/>
        <v>101.78450833930215</v>
      </c>
    </row>
    <row r="765" spans="2:18" ht="12" customHeight="1" x14ac:dyDescent="0.2">
      <c r="B765" s="172">
        <f t="shared" si="276"/>
        <v>760</v>
      </c>
      <c r="C765" s="142"/>
      <c r="D765" s="143"/>
      <c r="E765" s="143"/>
      <c r="F765" s="143" t="s">
        <v>212</v>
      </c>
      <c r="G765" s="201" t="s">
        <v>259</v>
      </c>
      <c r="H765" s="573">
        <f>39950+1375-350</f>
        <v>40975</v>
      </c>
      <c r="I765" s="573">
        <v>40998</v>
      </c>
      <c r="J765" s="965">
        <f t="shared" si="267"/>
        <v>100.05613178767541</v>
      </c>
      <c r="K765" s="336"/>
      <c r="L765" s="400"/>
      <c r="M765" s="400"/>
      <c r="N765" s="1035"/>
      <c r="O765" s="336"/>
      <c r="P765" s="167">
        <f>H765+L765</f>
        <v>40975</v>
      </c>
      <c r="Q765" s="167">
        <f t="shared" si="281"/>
        <v>40998</v>
      </c>
      <c r="R765" s="982">
        <f t="shared" si="268"/>
        <v>100.05613178767541</v>
      </c>
    </row>
    <row r="766" spans="2:18" ht="12" customHeight="1" x14ac:dyDescent="0.2">
      <c r="B766" s="172">
        <f t="shared" si="276"/>
        <v>761</v>
      </c>
      <c r="C766" s="142"/>
      <c r="D766" s="143"/>
      <c r="E766" s="143"/>
      <c r="F766" s="143" t="s">
        <v>218</v>
      </c>
      <c r="G766" s="201" t="s">
        <v>341</v>
      </c>
      <c r="H766" s="573">
        <f>H768+H769+H770+H771+H772+H773</f>
        <v>50550</v>
      </c>
      <c r="I766" s="573">
        <f>I768+I769+I770+I771+I772+I773+I767</f>
        <v>50995</v>
      </c>
      <c r="J766" s="965">
        <f t="shared" si="267"/>
        <v>100.88031651829871</v>
      </c>
      <c r="K766" s="336"/>
      <c r="L766" s="400"/>
      <c r="M766" s="400"/>
      <c r="N766" s="1035"/>
      <c r="O766" s="336"/>
      <c r="P766" s="167">
        <f>H766+L766</f>
        <v>50550</v>
      </c>
      <c r="Q766" s="167">
        <f t="shared" si="281"/>
        <v>50995</v>
      </c>
      <c r="R766" s="982">
        <f t="shared" si="268"/>
        <v>100.88031651829871</v>
      </c>
    </row>
    <row r="767" spans="2:18" ht="12" customHeight="1" x14ac:dyDescent="0.2">
      <c r="B767" s="172">
        <f t="shared" si="276"/>
        <v>762</v>
      </c>
      <c r="C767" s="142"/>
      <c r="D767" s="143"/>
      <c r="E767" s="143"/>
      <c r="F767" s="127" t="s">
        <v>213</v>
      </c>
      <c r="G767" s="193" t="s">
        <v>255</v>
      </c>
      <c r="H767" s="399"/>
      <c r="I767" s="399">
        <v>99</v>
      </c>
      <c r="J767" s="966">
        <v>0</v>
      </c>
      <c r="K767" s="348"/>
      <c r="L767" s="400"/>
      <c r="M767" s="400"/>
      <c r="N767" s="1035"/>
      <c r="O767" s="348"/>
      <c r="P767" s="168">
        <f t="shared" ref="P767" si="282">H767+L767</f>
        <v>0</v>
      </c>
      <c r="Q767" s="168">
        <f t="shared" ref="Q767" si="283">I767+M767</f>
        <v>99</v>
      </c>
      <c r="R767" s="983">
        <v>0</v>
      </c>
    </row>
    <row r="768" spans="2:18" ht="12" customHeight="1" x14ac:dyDescent="0.2">
      <c r="B768" s="172">
        <f t="shared" si="276"/>
        <v>763</v>
      </c>
      <c r="C768" s="142"/>
      <c r="D768" s="143"/>
      <c r="E768" s="143"/>
      <c r="F768" s="127" t="s">
        <v>199</v>
      </c>
      <c r="G768" s="193" t="s">
        <v>246</v>
      </c>
      <c r="H768" s="399">
        <v>2500</v>
      </c>
      <c r="I768" s="399">
        <v>1038</v>
      </c>
      <c r="J768" s="966">
        <f t="shared" si="267"/>
        <v>41.52</v>
      </c>
      <c r="K768" s="348"/>
      <c r="L768" s="400"/>
      <c r="M768" s="400"/>
      <c r="N768" s="1035"/>
      <c r="O768" s="348"/>
      <c r="P768" s="168">
        <f t="shared" ref="P768:P787" si="284">H768+L768</f>
        <v>2500</v>
      </c>
      <c r="Q768" s="168">
        <f t="shared" si="281"/>
        <v>1038</v>
      </c>
      <c r="R768" s="983">
        <f t="shared" si="268"/>
        <v>41.52</v>
      </c>
    </row>
    <row r="769" spans="2:18" ht="12" customHeight="1" x14ac:dyDescent="0.2">
      <c r="B769" s="172">
        <f t="shared" si="276"/>
        <v>764</v>
      </c>
      <c r="C769" s="142"/>
      <c r="D769" s="143"/>
      <c r="E769" s="143"/>
      <c r="F769" s="127" t="s">
        <v>200</v>
      </c>
      <c r="G769" s="193" t="s">
        <v>256</v>
      </c>
      <c r="H769" s="436">
        <v>4050</v>
      </c>
      <c r="I769" s="436">
        <v>5415</v>
      </c>
      <c r="J769" s="978">
        <f t="shared" si="267"/>
        <v>133.7037037037037</v>
      </c>
      <c r="K769" s="340"/>
      <c r="L769" s="439"/>
      <c r="M769" s="439"/>
      <c r="N769" s="1040"/>
      <c r="O769" s="340"/>
      <c r="P769" s="169">
        <f t="shared" si="284"/>
        <v>4050</v>
      </c>
      <c r="Q769" s="169">
        <f t="shared" si="281"/>
        <v>5415</v>
      </c>
      <c r="R769" s="986">
        <f t="shared" si="268"/>
        <v>133.7037037037037</v>
      </c>
    </row>
    <row r="770" spans="2:18" ht="12" customHeight="1" x14ac:dyDescent="0.2">
      <c r="B770" s="172">
        <f t="shared" si="276"/>
        <v>765</v>
      </c>
      <c r="C770" s="126"/>
      <c r="D770" s="127"/>
      <c r="E770" s="127"/>
      <c r="F770" s="127" t="s">
        <v>201</v>
      </c>
      <c r="G770" s="193" t="s">
        <v>260</v>
      </c>
      <c r="H770" s="399">
        <v>6750</v>
      </c>
      <c r="I770" s="399">
        <v>6819</v>
      </c>
      <c r="J770" s="966">
        <f t="shared" si="267"/>
        <v>101.02222222222221</v>
      </c>
      <c r="K770" s="338"/>
      <c r="L770" s="440"/>
      <c r="M770" s="440"/>
      <c r="N770" s="1039"/>
      <c r="O770" s="338"/>
      <c r="P770" s="269">
        <f t="shared" si="284"/>
        <v>6750</v>
      </c>
      <c r="Q770" s="269">
        <f t="shared" si="281"/>
        <v>6819</v>
      </c>
      <c r="R770" s="1018">
        <f t="shared" si="268"/>
        <v>101.02222222222221</v>
      </c>
    </row>
    <row r="771" spans="2:18" ht="12" customHeight="1" x14ac:dyDescent="0.2">
      <c r="B771" s="172">
        <f t="shared" si="276"/>
        <v>766</v>
      </c>
      <c r="C771" s="126"/>
      <c r="D771" s="127"/>
      <c r="E771" s="127"/>
      <c r="F771" s="127" t="s">
        <v>214</v>
      </c>
      <c r="G771" s="193" t="s">
        <v>516</v>
      </c>
      <c r="H771" s="399">
        <v>1400</v>
      </c>
      <c r="I771" s="399">
        <v>722</v>
      </c>
      <c r="J771" s="966">
        <f t="shared" si="267"/>
        <v>51.571428571428569</v>
      </c>
      <c r="K771" s="338"/>
      <c r="L771" s="441"/>
      <c r="M771" s="441"/>
      <c r="N771" s="1036"/>
      <c r="O771" s="338"/>
      <c r="P771" s="168">
        <f t="shared" si="284"/>
        <v>1400</v>
      </c>
      <c r="Q771" s="168">
        <f t="shared" si="281"/>
        <v>722</v>
      </c>
      <c r="R771" s="983">
        <f t="shared" si="268"/>
        <v>51.571428571428569</v>
      </c>
    </row>
    <row r="772" spans="2:18" ht="12" customHeight="1" x14ac:dyDescent="0.2">
      <c r="B772" s="172">
        <f t="shared" si="276"/>
        <v>767</v>
      </c>
      <c r="C772" s="126"/>
      <c r="D772" s="127"/>
      <c r="E772" s="127"/>
      <c r="F772" s="127" t="s">
        <v>215</v>
      </c>
      <c r="G772" s="193" t="s">
        <v>635</v>
      </c>
      <c r="H772" s="399">
        <v>2500</v>
      </c>
      <c r="I772" s="399">
        <v>2089</v>
      </c>
      <c r="J772" s="966">
        <f t="shared" si="267"/>
        <v>83.56</v>
      </c>
      <c r="K772" s="338"/>
      <c r="L772" s="441"/>
      <c r="M772" s="441"/>
      <c r="N772" s="1036"/>
      <c r="O772" s="338"/>
      <c r="P772" s="168">
        <f t="shared" si="284"/>
        <v>2500</v>
      </c>
      <c r="Q772" s="168">
        <f t="shared" si="281"/>
        <v>2089</v>
      </c>
      <c r="R772" s="983">
        <f t="shared" si="268"/>
        <v>83.56</v>
      </c>
    </row>
    <row r="773" spans="2:18" ht="12" customHeight="1" x14ac:dyDescent="0.2">
      <c r="B773" s="172">
        <f t="shared" si="276"/>
        <v>768</v>
      </c>
      <c r="C773" s="126"/>
      <c r="D773" s="127"/>
      <c r="E773" s="127"/>
      <c r="F773" s="127" t="s">
        <v>216</v>
      </c>
      <c r="G773" s="193" t="s">
        <v>248</v>
      </c>
      <c r="H773" s="399">
        <f>21750+11600</f>
        <v>33350</v>
      </c>
      <c r="I773" s="399">
        <v>34813</v>
      </c>
      <c r="J773" s="966">
        <f t="shared" si="267"/>
        <v>104.38680659670166</v>
      </c>
      <c r="K773" s="338"/>
      <c r="L773" s="441"/>
      <c r="M773" s="441"/>
      <c r="N773" s="1036"/>
      <c r="O773" s="338"/>
      <c r="P773" s="168">
        <f t="shared" si="284"/>
        <v>33350</v>
      </c>
      <c r="Q773" s="168">
        <f t="shared" si="281"/>
        <v>34813</v>
      </c>
      <c r="R773" s="983">
        <f t="shared" si="268"/>
        <v>104.38680659670166</v>
      </c>
    </row>
    <row r="774" spans="2:18" x14ac:dyDescent="0.2">
      <c r="B774" s="172">
        <f t="shared" si="276"/>
        <v>769</v>
      </c>
      <c r="C774" s="142"/>
      <c r="D774" s="143"/>
      <c r="E774" s="166"/>
      <c r="F774" s="286" t="s">
        <v>217</v>
      </c>
      <c r="G774" s="201" t="s">
        <v>538</v>
      </c>
      <c r="H774" s="573">
        <f>2800+3694</f>
        <v>6494</v>
      </c>
      <c r="I774" s="573">
        <v>4726</v>
      </c>
      <c r="J774" s="965">
        <f t="shared" si="267"/>
        <v>72.774869109947645</v>
      </c>
      <c r="K774" s="336"/>
      <c r="L774" s="400"/>
      <c r="M774" s="400"/>
      <c r="N774" s="1035"/>
      <c r="O774" s="336"/>
      <c r="P774" s="167">
        <f t="shared" si="284"/>
        <v>6494</v>
      </c>
      <c r="Q774" s="167">
        <f t="shared" si="281"/>
        <v>4726</v>
      </c>
      <c r="R774" s="982">
        <f t="shared" si="268"/>
        <v>72.774869109947645</v>
      </c>
    </row>
    <row r="775" spans="2:18" x14ac:dyDescent="0.2">
      <c r="B775" s="172">
        <f t="shared" si="276"/>
        <v>770</v>
      </c>
      <c r="C775" s="142"/>
      <c r="D775" s="143"/>
      <c r="E775" s="166"/>
      <c r="F775" s="286" t="s">
        <v>217</v>
      </c>
      <c r="G775" s="201" t="s">
        <v>911</v>
      </c>
      <c r="H775" s="573">
        <v>0</v>
      </c>
      <c r="I775" s="573">
        <v>2344</v>
      </c>
      <c r="J775" s="965">
        <v>0</v>
      </c>
      <c r="K775" s="336"/>
      <c r="L775" s="400"/>
      <c r="M775" s="400"/>
      <c r="N775" s="1035"/>
      <c r="O775" s="336"/>
      <c r="P775" s="167">
        <v>0</v>
      </c>
      <c r="Q775" s="167">
        <f t="shared" si="281"/>
        <v>2344</v>
      </c>
      <c r="R775" s="982">
        <v>0</v>
      </c>
    </row>
    <row r="776" spans="2:18" ht="15" x14ac:dyDescent="0.25">
      <c r="B776" s="172">
        <f t="shared" si="276"/>
        <v>771</v>
      </c>
      <c r="C776" s="142"/>
      <c r="D776" s="177"/>
      <c r="E776" s="176" t="s">
        <v>253</v>
      </c>
      <c r="F776" s="147" t="s">
        <v>323</v>
      </c>
      <c r="G776" s="238"/>
      <c r="H776" s="427">
        <f>SUM(H777:H779)</f>
        <v>3150</v>
      </c>
      <c r="I776" s="427">
        <f t="shared" ref="I776" si="285">SUM(I777:I779)</f>
        <v>2602</v>
      </c>
      <c r="J776" s="965">
        <f t="shared" si="267"/>
        <v>82.603174603174594</v>
      </c>
      <c r="K776" s="335"/>
      <c r="L776" s="432"/>
      <c r="M776" s="432"/>
      <c r="N776" s="1035"/>
      <c r="O776" s="335"/>
      <c r="P776" s="331">
        <f t="shared" si="284"/>
        <v>3150</v>
      </c>
      <c r="Q776" s="331">
        <f t="shared" si="281"/>
        <v>2602</v>
      </c>
      <c r="R776" s="982">
        <f t="shared" si="268"/>
        <v>82.603174603174594</v>
      </c>
    </row>
    <row r="777" spans="2:18" ht="12" customHeight="1" x14ac:dyDescent="0.2">
      <c r="B777" s="172">
        <f t="shared" si="276"/>
        <v>772</v>
      </c>
      <c r="C777" s="126"/>
      <c r="D777" s="13"/>
      <c r="E777" s="127"/>
      <c r="F777" s="127" t="s">
        <v>200</v>
      </c>
      <c r="G777" s="193" t="s">
        <v>517</v>
      </c>
      <c r="H777" s="570">
        <f>550-350</f>
        <v>200</v>
      </c>
      <c r="I777" s="570">
        <v>200</v>
      </c>
      <c r="J777" s="966">
        <f t="shared" si="267"/>
        <v>100</v>
      </c>
      <c r="K777" s="128"/>
      <c r="L777" s="141"/>
      <c r="M777" s="141"/>
      <c r="N777" s="1036"/>
      <c r="O777" s="128"/>
      <c r="P777" s="168">
        <f t="shared" si="284"/>
        <v>200</v>
      </c>
      <c r="Q777" s="168">
        <f t="shared" si="281"/>
        <v>200</v>
      </c>
      <c r="R777" s="983">
        <f t="shared" si="268"/>
        <v>100</v>
      </c>
    </row>
    <row r="778" spans="2:18" ht="12" customHeight="1" x14ac:dyDescent="0.2">
      <c r="B778" s="172">
        <f t="shared" si="276"/>
        <v>773</v>
      </c>
      <c r="C778" s="126"/>
      <c r="D778" s="13"/>
      <c r="E778" s="127"/>
      <c r="F778" s="127" t="s">
        <v>200</v>
      </c>
      <c r="G778" s="193" t="s">
        <v>518</v>
      </c>
      <c r="H778" s="570">
        <f>2400-340</f>
        <v>2060</v>
      </c>
      <c r="I778" s="570">
        <v>2052</v>
      </c>
      <c r="J778" s="966">
        <f t="shared" si="267"/>
        <v>99.611650485436897</v>
      </c>
      <c r="K778" s="128"/>
      <c r="L778" s="141"/>
      <c r="M778" s="141"/>
      <c r="N778" s="1036"/>
      <c r="O778" s="128"/>
      <c r="P778" s="168">
        <f t="shared" si="284"/>
        <v>2060</v>
      </c>
      <c r="Q778" s="168">
        <f t="shared" si="281"/>
        <v>2052</v>
      </c>
      <c r="R778" s="983">
        <f t="shared" si="268"/>
        <v>99.611650485436897</v>
      </c>
    </row>
    <row r="779" spans="2:18" x14ac:dyDescent="0.2">
      <c r="B779" s="172">
        <f t="shared" si="276"/>
        <v>774</v>
      </c>
      <c r="C779" s="126"/>
      <c r="D779" s="13"/>
      <c r="E779" s="127"/>
      <c r="F779" s="127" t="s">
        <v>200</v>
      </c>
      <c r="G779" s="193" t="s">
        <v>519</v>
      </c>
      <c r="H779" s="570">
        <f>200+690</f>
        <v>890</v>
      </c>
      <c r="I779" s="570">
        <v>350</v>
      </c>
      <c r="J779" s="966">
        <f t="shared" si="267"/>
        <v>39.325842696629216</v>
      </c>
      <c r="K779" s="128"/>
      <c r="L779" s="141"/>
      <c r="M779" s="141"/>
      <c r="N779" s="1036"/>
      <c r="O779" s="128"/>
      <c r="P779" s="168">
        <f t="shared" si="284"/>
        <v>890</v>
      </c>
      <c r="Q779" s="168">
        <f t="shared" si="281"/>
        <v>350</v>
      </c>
      <c r="R779" s="983">
        <f t="shared" si="268"/>
        <v>39.325842696629216</v>
      </c>
    </row>
    <row r="780" spans="2:18" ht="15" x14ac:dyDescent="0.25">
      <c r="B780" s="172">
        <f t="shared" si="276"/>
        <v>775</v>
      </c>
      <c r="C780" s="126"/>
      <c r="D780" s="13"/>
      <c r="E780" s="176" t="s">
        <v>679</v>
      </c>
      <c r="F780" s="147" t="s">
        <v>324</v>
      </c>
      <c r="G780" s="238"/>
      <c r="H780" s="427">
        <v>4500</v>
      </c>
      <c r="I780" s="427">
        <v>3790</v>
      </c>
      <c r="J780" s="965">
        <f t="shared" si="267"/>
        <v>84.222222222222214</v>
      </c>
      <c r="K780" s="341"/>
      <c r="L780" s="433"/>
      <c r="M780" s="433"/>
      <c r="N780" s="1036"/>
      <c r="O780" s="341"/>
      <c r="P780" s="331">
        <f t="shared" si="284"/>
        <v>4500</v>
      </c>
      <c r="Q780" s="331">
        <f t="shared" ref="Q780:Q791" si="286">I780+M780</f>
        <v>3790</v>
      </c>
      <c r="R780" s="982">
        <f t="shared" si="268"/>
        <v>84.222222222222214</v>
      </c>
    </row>
    <row r="781" spans="2:18" ht="15" x14ac:dyDescent="0.25">
      <c r="B781" s="172">
        <f t="shared" si="276"/>
        <v>776</v>
      </c>
      <c r="C781" s="126"/>
      <c r="D781" s="177"/>
      <c r="E781" s="176" t="s">
        <v>253</v>
      </c>
      <c r="F781" s="147" t="s">
        <v>87</v>
      </c>
      <c r="G781" s="238"/>
      <c r="H781" s="427">
        <f>H782+H784+H783+H791</f>
        <v>40211</v>
      </c>
      <c r="I781" s="427">
        <f t="shared" ref="I781" si="287">I782+I784+I783+I791</f>
        <v>38748</v>
      </c>
      <c r="J781" s="965">
        <f t="shared" si="267"/>
        <v>96.361692074308024</v>
      </c>
      <c r="K781" s="341"/>
      <c r="L781" s="433"/>
      <c r="M781" s="433"/>
      <c r="N781" s="1036"/>
      <c r="O781" s="341"/>
      <c r="P781" s="331">
        <f t="shared" si="284"/>
        <v>40211</v>
      </c>
      <c r="Q781" s="331">
        <f t="shared" si="286"/>
        <v>38748</v>
      </c>
      <c r="R781" s="982">
        <f t="shared" si="268"/>
        <v>96.361692074308024</v>
      </c>
    </row>
    <row r="782" spans="2:18" ht="16.5" customHeight="1" x14ac:dyDescent="0.2">
      <c r="B782" s="172">
        <f t="shared" si="276"/>
        <v>777</v>
      </c>
      <c r="C782" s="126"/>
      <c r="D782" s="177"/>
      <c r="E782" s="143"/>
      <c r="F782" s="143" t="s">
        <v>211</v>
      </c>
      <c r="G782" s="201" t="s">
        <v>506</v>
      </c>
      <c r="H782" s="387">
        <f>22900+92</f>
        <v>22992</v>
      </c>
      <c r="I782" s="387">
        <v>22930</v>
      </c>
      <c r="J782" s="965">
        <f t="shared" si="267"/>
        <v>99.7303409881698</v>
      </c>
      <c r="K782" s="128"/>
      <c r="L782" s="141"/>
      <c r="M782" s="141"/>
      <c r="N782" s="1036"/>
      <c r="O782" s="128"/>
      <c r="P782" s="167">
        <f t="shared" si="284"/>
        <v>22992</v>
      </c>
      <c r="Q782" s="167">
        <f t="shared" si="286"/>
        <v>22930</v>
      </c>
      <c r="R782" s="982">
        <f t="shared" si="268"/>
        <v>99.7303409881698</v>
      </c>
    </row>
    <row r="783" spans="2:18" ht="12" customHeight="1" x14ac:dyDescent="0.2">
      <c r="B783" s="172">
        <f t="shared" si="276"/>
        <v>778</v>
      </c>
      <c r="C783" s="126"/>
      <c r="D783" s="177"/>
      <c r="E783" s="143"/>
      <c r="F783" s="143" t="s">
        <v>212</v>
      </c>
      <c r="G783" s="201" t="s">
        <v>259</v>
      </c>
      <c r="H783" s="387">
        <f>8690+70</f>
        <v>8760</v>
      </c>
      <c r="I783" s="387">
        <v>8536</v>
      </c>
      <c r="J783" s="965">
        <f t="shared" si="267"/>
        <v>97.442922374429216</v>
      </c>
      <c r="K783" s="128"/>
      <c r="L783" s="141"/>
      <c r="M783" s="141"/>
      <c r="N783" s="1036"/>
      <c r="O783" s="128"/>
      <c r="P783" s="167">
        <f t="shared" si="284"/>
        <v>8760</v>
      </c>
      <c r="Q783" s="167">
        <f t="shared" si="286"/>
        <v>8536</v>
      </c>
      <c r="R783" s="982">
        <f t="shared" si="268"/>
        <v>97.442922374429216</v>
      </c>
    </row>
    <row r="784" spans="2:18" ht="12" customHeight="1" x14ac:dyDescent="0.2">
      <c r="B784" s="172">
        <f t="shared" si="276"/>
        <v>779</v>
      </c>
      <c r="C784" s="126"/>
      <c r="D784" s="143"/>
      <c r="E784" s="143"/>
      <c r="F784" s="143" t="s">
        <v>218</v>
      </c>
      <c r="G784" s="201" t="s">
        <v>341</v>
      </c>
      <c r="H784" s="387">
        <f>SUM(H785:H790)</f>
        <v>8328</v>
      </c>
      <c r="I784" s="387">
        <f t="shared" ref="I784" si="288">SUM(I785:I790)</f>
        <v>7151</v>
      </c>
      <c r="J784" s="965">
        <f t="shared" si="267"/>
        <v>85.866954851104708</v>
      </c>
      <c r="K784" s="128"/>
      <c r="L784" s="141"/>
      <c r="M784" s="141"/>
      <c r="N784" s="1036"/>
      <c r="O784" s="128"/>
      <c r="P784" s="167">
        <f t="shared" si="284"/>
        <v>8328</v>
      </c>
      <c r="Q784" s="167">
        <f t="shared" si="286"/>
        <v>7151</v>
      </c>
      <c r="R784" s="982">
        <f t="shared" si="268"/>
        <v>85.866954851104708</v>
      </c>
    </row>
    <row r="785" spans="2:18" ht="12" customHeight="1" x14ac:dyDescent="0.2">
      <c r="B785" s="172">
        <f t="shared" si="276"/>
        <v>780</v>
      </c>
      <c r="C785" s="126"/>
      <c r="D785" s="143"/>
      <c r="E785" s="143"/>
      <c r="F785" s="127" t="s">
        <v>213</v>
      </c>
      <c r="G785" s="193" t="s">
        <v>255</v>
      </c>
      <c r="H785" s="570">
        <f>200-150</f>
        <v>50</v>
      </c>
      <c r="I785" s="570">
        <v>0</v>
      </c>
      <c r="J785" s="966">
        <f t="shared" si="267"/>
        <v>0</v>
      </c>
      <c r="L785" s="141"/>
      <c r="M785" s="141"/>
      <c r="N785" s="1036"/>
      <c r="P785" s="168">
        <f t="shared" si="284"/>
        <v>50</v>
      </c>
      <c r="Q785" s="168">
        <f t="shared" si="286"/>
        <v>0</v>
      </c>
      <c r="R785" s="983">
        <f t="shared" si="268"/>
        <v>0</v>
      </c>
    </row>
    <row r="786" spans="2:18" ht="12" customHeight="1" x14ac:dyDescent="0.2">
      <c r="B786" s="172">
        <f t="shared" si="276"/>
        <v>781</v>
      </c>
      <c r="C786" s="126"/>
      <c r="D786" s="143"/>
      <c r="E786" s="143"/>
      <c r="F786" s="127" t="s">
        <v>199</v>
      </c>
      <c r="G786" s="193" t="s">
        <v>246</v>
      </c>
      <c r="H786" s="570">
        <v>700</v>
      </c>
      <c r="I786" s="570">
        <v>367</v>
      </c>
      <c r="J786" s="966">
        <f t="shared" si="267"/>
        <v>52.428571428571423</v>
      </c>
      <c r="L786" s="141"/>
      <c r="M786" s="141"/>
      <c r="N786" s="1036"/>
      <c r="P786" s="168">
        <f t="shared" si="284"/>
        <v>700</v>
      </c>
      <c r="Q786" s="168">
        <f t="shared" si="286"/>
        <v>367</v>
      </c>
      <c r="R786" s="983">
        <f t="shared" si="268"/>
        <v>52.428571428571423</v>
      </c>
    </row>
    <row r="787" spans="2:18" ht="12" customHeight="1" x14ac:dyDescent="0.2">
      <c r="B787" s="172">
        <f t="shared" si="276"/>
        <v>782</v>
      </c>
      <c r="C787" s="126"/>
      <c r="D787" s="143"/>
      <c r="E787" s="143"/>
      <c r="F787" s="127" t="s">
        <v>200</v>
      </c>
      <c r="G787" s="193" t="s">
        <v>256</v>
      </c>
      <c r="H787" s="570">
        <f>3175+1139+950</f>
        <v>5264</v>
      </c>
      <c r="I787" s="570">
        <f>8105-739-2602-1</f>
        <v>4763</v>
      </c>
      <c r="J787" s="966">
        <f t="shared" si="267"/>
        <v>90.482522796352583</v>
      </c>
      <c r="L787" s="141"/>
      <c r="M787" s="141"/>
      <c r="N787" s="1036"/>
      <c r="P787" s="168">
        <f t="shared" si="284"/>
        <v>5264</v>
      </c>
      <c r="Q787" s="168">
        <f t="shared" si="286"/>
        <v>4763</v>
      </c>
      <c r="R787" s="983">
        <f t="shared" si="268"/>
        <v>90.482522796352583</v>
      </c>
    </row>
    <row r="788" spans="2:18" ht="12" customHeight="1" x14ac:dyDescent="0.2">
      <c r="B788" s="172">
        <f t="shared" si="276"/>
        <v>783</v>
      </c>
      <c r="C788" s="126"/>
      <c r="D788" s="143"/>
      <c r="E788" s="127"/>
      <c r="F788" s="127" t="s">
        <v>214</v>
      </c>
      <c r="G788" s="193" t="s">
        <v>261</v>
      </c>
      <c r="H788" s="570">
        <f>375-300</f>
        <v>75</v>
      </c>
      <c r="I788" s="570">
        <v>48</v>
      </c>
      <c r="J788" s="966">
        <f t="shared" si="267"/>
        <v>64</v>
      </c>
      <c r="L788" s="141"/>
      <c r="M788" s="141"/>
      <c r="N788" s="1036"/>
      <c r="P788" s="168">
        <f>H788+L788</f>
        <v>75</v>
      </c>
      <c r="Q788" s="168">
        <f t="shared" si="286"/>
        <v>48</v>
      </c>
      <c r="R788" s="983">
        <f t="shared" si="268"/>
        <v>64</v>
      </c>
    </row>
    <row r="789" spans="2:18" x14ac:dyDescent="0.2">
      <c r="B789" s="652">
        <f t="shared" si="276"/>
        <v>784</v>
      </c>
      <c r="C789" s="691"/>
      <c r="D789" s="699"/>
      <c r="E789" s="700"/>
      <c r="F789" s="700" t="s">
        <v>216</v>
      </c>
      <c r="G789" s="692" t="s">
        <v>248</v>
      </c>
      <c r="H789" s="571">
        <f>2000-500</f>
        <v>1500</v>
      </c>
      <c r="I789" s="571">
        <v>1234</v>
      </c>
      <c r="J789" s="979">
        <f t="shared" si="267"/>
        <v>82.266666666666666</v>
      </c>
      <c r="L789" s="141"/>
      <c r="M789" s="141"/>
      <c r="N789" s="1036"/>
      <c r="P789" s="168">
        <f>H789+L789</f>
        <v>1500</v>
      </c>
      <c r="Q789" s="168">
        <f t="shared" si="286"/>
        <v>1234</v>
      </c>
      <c r="R789" s="983">
        <f t="shared" si="268"/>
        <v>82.266666666666666</v>
      </c>
    </row>
    <row r="790" spans="2:18" x14ac:dyDescent="0.2">
      <c r="B790" s="656">
        <f t="shared" si="276"/>
        <v>785</v>
      </c>
      <c r="C790" s="568"/>
      <c r="D790" s="286"/>
      <c r="E790" s="292"/>
      <c r="F790" s="292" t="s">
        <v>218</v>
      </c>
      <c r="G790" s="569" t="s">
        <v>789</v>
      </c>
      <c r="H790" s="570">
        <v>739</v>
      </c>
      <c r="I790" s="570">
        <v>739</v>
      </c>
      <c r="J790" s="966">
        <f t="shared" si="267"/>
        <v>100</v>
      </c>
      <c r="K790" s="834"/>
      <c r="L790" s="141"/>
      <c r="M790" s="141"/>
      <c r="N790" s="1036"/>
      <c r="O790" s="834"/>
      <c r="P790" s="168">
        <f t="shared" ref="P790:P791" si="289">H790+L790</f>
        <v>739</v>
      </c>
      <c r="Q790" s="168">
        <f t="shared" si="286"/>
        <v>739</v>
      </c>
      <c r="R790" s="983">
        <f t="shared" si="268"/>
        <v>100</v>
      </c>
    </row>
    <row r="791" spans="2:18" ht="15" customHeight="1" thickBot="1" x14ac:dyDescent="0.25">
      <c r="B791" s="349">
        <f t="shared" si="276"/>
        <v>786</v>
      </c>
      <c r="C791" s="213"/>
      <c r="D791" s="525"/>
      <c r="E791" s="526"/>
      <c r="F791" s="526" t="s">
        <v>217</v>
      </c>
      <c r="G791" s="527" t="s">
        <v>868</v>
      </c>
      <c r="H791" s="384">
        <v>131</v>
      </c>
      <c r="I791" s="384">
        <v>131</v>
      </c>
      <c r="J791" s="991">
        <f t="shared" si="267"/>
        <v>100</v>
      </c>
      <c r="K791" s="835"/>
      <c r="L791" s="140"/>
      <c r="M791" s="140"/>
      <c r="N791" s="1043"/>
      <c r="O791" s="835"/>
      <c r="P791" s="216">
        <f t="shared" si="289"/>
        <v>131</v>
      </c>
      <c r="Q791" s="216">
        <f t="shared" si="286"/>
        <v>131</v>
      </c>
      <c r="R791" s="993">
        <f t="shared" si="268"/>
        <v>100</v>
      </c>
    </row>
    <row r="792" spans="2:18" ht="15" customHeight="1" x14ac:dyDescent="0.2">
      <c r="B792" s="306"/>
      <c r="C792" s="307"/>
      <c r="D792" s="129"/>
      <c r="E792" s="129"/>
      <c r="F792" s="129"/>
      <c r="G792" s="151"/>
      <c r="H792" s="249"/>
      <c r="I792" s="249"/>
      <c r="K792" s="249"/>
      <c r="L792" s="249"/>
      <c r="M792" s="249"/>
      <c r="O792" s="249"/>
      <c r="P792" s="249"/>
    </row>
    <row r="794" spans="2:18" x14ac:dyDescent="0.2">
      <c r="H794" s="407"/>
      <c r="I794" s="407"/>
      <c r="J794" s="1026"/>
      <c r="K794" s="407"/>
      <c r="L794" s="407"/>
      <c r="M794" s="407"/>
      <c r="N794" s="1026"/>
    </row>
  </sheetData>
  <mergeCells count="15">
    <mergeCell ref="B2:H2"/>
    <mergeCell ref="P3:P5"/>
    <mergeCell ref="C4:C5"/>
    <mergeCell ref="D4:D5"/>
    <mergeCell ref="E4:E5"/>
    <mergeCell ref="F4:F5"/>
    <mergeCell ref="H4:H5"/>
    <mergeCell ref="L4:L5"/>
    <mergeCell ref="Q3:Q5"/>
    <mergeCell ref="R3:R5"/>
    <mergeCell ref="I4:I5"/>
    <mergeCell ref="J4:J5"/>
    <mergeCell ref="M4:M5"/>
    <mergeCell ref="N4:N5"/>
    <mergeCell ref="B3:N3"/>
  </mergeCells>
  <pageMargins left="0.31" right="0.3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8"/>
  <sheetViews>
    <sheetView workbookViewId="0"/>
  </sheetViews>
  <sheetFormatPr defaultRowHeight="12.75" x14ac:dyDescent="0.2"/>
  <cols>
    <col min="1" max="1" width="2.85546875" style="242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9" width="13.7109375" style="76" customWidth="1"/>
    <col min="10" max="10" width="6" style="76" customWidth="1"/>
    <col min="11" max="11" width="2.42578125" style="76" customWidth="1"/>
    <col min="12" max="13" width="14.28515625" style="76" customWidth="1"/>
    <col min="14" max="14" width="6.7109375" style="76" customWidth="1"/>
    <col min="15" max="15" width="3.85546875" style="76" customWidth="1"/>
    <col min="16" max="16" width="12.85546875" style="76" customWidth="1"/>
    <col min="17" max="17" width="12.28515625" customWidth="1"/>
    <col min="18" max="18" width="5.42578125" style="243" customWidth="1"/>
  </cols>
  <sheetData>
    <row r="1" spans="1:18" ht="27.75" thickBot="1" x14ac:dyDescent="0.4">
      <c r="B1" s="248" t="s">
        <v>594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8" ht="13.5" customHeight="1" thickBot="1" x14ac:dyDescent="0.25">
      <c r="B2" s="1131" t="s">
        <v>632</v>
      </c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3"/>
      <c r="O2" s="116"/>
      <c r="P2" s="1125" t="s">
        <v>716</v>
      </c>
      <c r="Q2" s="1125" t="s">
        <v>886</v>
      </c>
      <c r="R2" s="1128" t="s">
        <v>887</v>
      </c>
    </row>
    <row r="3" spans="1:18" ht="34.5" customHeight="1" thickTop="1" x14ac:dyDescent="0.2">
      <c r="B3" s="548"/>
      <c r="C3" s="1141" t="s">
        <v>478</v>
      </c>
      <c r="D3" s="1141" t="s">
        <v>477</v>
      </c>
      <c r="E3" s="1141" t="s">
        <v>475</v>
      </c>
      <c r="F3" s="1141" t="s">
        <v>476</v>
      </c>
      <c r="G3" s="550" t="s">
        <v>3</v>
      </c>
      <c r="H3" s="1135" t="s">
        <v>902</v>
      </c>
      <c r="I3" s="1135" t="s">
        <v>903</v>
      </c>
      <c r="J3" s="1139" t="s">
        <v>887</v>
      </c>
      <c r="L3" s="1137" t="s">
        <v>904</v>
      </c>
      <c r="M3" s="1137" t="s">
        <v>905</v>
      </c>
      <c r="N3" s="1139" t="s">
        <v>887</v>
      </c>
      <c r="P3" s="1126"/>
      <c r="Q3" s="1126"/>
      <c r="R3" s="1129"/>
    </row>
    <row r="4" spans="1:18" ht="33" customHeight="1" thickBot="1" x14ac:dyDescent="0.25">
      <c r="B4" s="925"/>
      <c r="C4" s="1124"/>
      <c r="D4" s="1124"/>
      <c r="E4" s="1124"/>
      <c r="F4" s="1124"/>
      <c r="G4" s="551"/>
      <c r="H4" s="1136"/>
      <c r="I4" s="1136"/>
      <c r="J4" s="1140"/>
      <c r="L4" s="1138"/>
      <c r="M4" s="1138"/>
      <c r="N4" s="1140"/>
      <c r="P4" s="1127"/>
      <c r="Q4" s="1127"/>
      <c r="R4" s="1130"/>
    </row>
    <row r="5" spans="1:18" ht="19.5" customHeight="1" thickTop="1" thickBot="1" x14ac:dyDescent="0.25">
      <c r="B5" s="665">
        <v>1</v>
      </c>
      <c r="C5" s="121" t="s">
        <v>595</v>
      </c>
      <c r="D5" s="109"/>
      <c r="E5" s="109"/>
      <c r="F5" s="109"/>
      <c r="G5" s="191"/>
      <c r="H5" s="453">
        <f>H6+H7+H19+H65</f>
        <v>1326836</v>
      </c>
      <c r="I5" s="453">
        <f>I6+I7+I19+I65</f>
        <v>1286437</v>
      </c>
      <c r="J5" s="969">
        <f>I5/H5*100</f>
        <v>96.955237874160787</v>
      </c>
      <c r="K5" s="111"/>
      <c r="L5" s="406">
        <f>L6+L7+L19+L65</f>
        <v>70600</v>
      </c>
      <c r="M5" s="406">
        <f>M6+M7+M19+M65</f>
        <v>51586</v>
      </c>
      <c r="N5" s="1005">
        <f>M5/L5*100</f>
        <v>73.067988668555245</v>
      </c>
      <c r="O5" s="111"/>
      <c r="P5" s="371">
        <f t="shared" ref="P5:P16" si="0">H5+L5</f>
        <v>1397436</v>
      </c>
      <c r="Q5" s="371">
        <f t="shared" ref="Q5:Q41" si="1">I5+M5</f>
        <v>1338023</v>
      </c>
      <c r="R5" s="992">
        <f>Q5/P5*100</f>
        <v>95.748427834977775</v>
      </c>
    </row>
    <row r="6" spans="1:18" ht="16.5" thickTop="1" x14ac:dyDescent="0.25">
      <c r="B6" s="132">
        <f>B5+1</f>
        <v>2</v>
      </c>
      <c r="C6" s="23">
        <v>1</v>
      </c>
      <c r="D6" s="123" t="s">
        <v>110</v>
      </c>
      <c r="E6" s="24"/>
      <c r="F6" s="24"/>
      <c r="G6" s="192"/>
      <c r="H6" s="412">
        <v>0</v>
      </c>
      <c r="I6" s="412">
        <v>0</v>
      </c>
      <c r="J6" s="994">
        <v>0</v>
      </c>
      <c r="K6" s="86"/>
      <c r="L6" s="401">
        <v>0</v>
      </c>
      <c r="M6" s="401">
        <v>0</v>
      </c>
      <c r="N6" s="971">
        <v>0</v>
      </c>
      <c r="O6" s="86"/>
      <c r="P6" s="372">
        <f t="shared" si="0"/>
        <v>0</v>
      </c>
      <c r="Q6" s="372">
        <f t="shared" si="1"/>
        <v>0</v>
      </c>
      <c r="R6" s="981">
        <v>0</v>
      </c>
    </row>
    <row r="7" spans="1:18" ht="15.75" x14ac:dyDescent="0.25">
      <c r="B7" s="132">
        <f t="shared" ref="B7:B74" si="2">B6+1</f>
        <v>3</v>
      </c>
      <c r="C7" s="21">
        <v>2</v>
      </c>
      <c r="D7" s="122" t="s">
        <v>869</v>
      </c>
      <c r="E7" s="22"/>
      <c r="F7" s="22"/>
      <c r="G7" s="194"/>
      <c r="H7" s="413">
        <f>SUM(H8:H18)</f>
        <v>131986</v>
      </c>
      <c r="I7" s="413">
        <f t="shared" ref="I7" si="3">SUM(I8:I18)</f>
        <v>131550</v>
      </c>
      <c r="J7" s="972">
        <f t="shared" ref="J7:J69" si="4">I7/H7*100</f>
        <v>99.669661933841468</v>
      </c>
      <c r="K7" s="110"/>
      <c r="L7" s="378">
        <v>0</v>
      </c>
      <c r="M7" s="378">
        <v>0</v>
      </c>
      <c r="N7" s="971">
        <v>0</v>
      </c>
      <c r="O7" s="110"/>
      <c r="P7" s="372">
        <f t="shared" si="0"/>
        <v>131986</v>
      </c>
      <c r="Q7" s="372">
        <f t="shared" si="1"/>
        <v>131550</v>
      </c>
      <c r="R7" s="981">
        <f t="shared" ref="R7:R69" si="5">Q7/P7*100</f>
        <v>99.669661933841468</v>
      </c>
    </row>
    <row r="8" spans="1:18" ht="12" customHeight="1" x14ac:dyDescent="0.2">
      <c r="B8" s="132">
        <f t="shared" si="2"/>
        <v>4</v>
      </c>
      <c r="C8" s="126"/>
      <c r="D8" s="126"/>
      <c r="E8" s="127" t="s">
        <v>252</v>
      </c>
      <c r="F8" s="479">
        <v>640</v>
      </c>
      <c r="G8" s="214" t="s">
        <v>111</v>
      </c>
      <c r="H8" s="570">
        <f>25000+486</f>
        <v>25486</v>
      </c>
      <c r="I8" s="570">
        <f>25400-350</f>
        <v>25050</v>
      </c>
      <c r="J8" s="966">
        <f t="shared" si="4"/>
        <v>98.289256846896336</v>
      </c>
      <c r="K8" s="128"/>
      <c r="L8" s="570"/>
      <c r="M8" s="570"/>
      <c r="N8" s="966"/>
      <c r="O8" s="128"/>
      <c r="P8" s="477">
        <f t="shared" si="0"/>
        <v>25486</v>
      </c>
      <c r="Q8" s="477">
        <f t="shared" si="1"/>
        <v>25050</v>
      </c>
      <c r="R8" s="1020">
        <f t="shared" si="5"/>
        <v>98.289256846896336</v>
      </c>
    </row>
    <row r="9" spans="1:18" ht="12" customHeight="1" x14ac:dyDescent="0.2">
      <c r="B9" s="132">
        <f t="shared" si="2"/>
        <v>5</v>
      </c>
      <c r="C9" s="126"/>
      <c r="D9" s="126"/>
      <c r="E9" s="127" t="s">
        <v>252</v>
      </c>
      <c r="F9" s="479">
        <v>640</v>
      </c>
      <c r="G9" s="214" t="s">
        <v>593</v>
      </c>
      <c r="H9" s="570">
        <v>5000</v>
      </c>
      <c r="I9" s="570">
        <v>5000</v>
      </c>
      <c r="J9" s="966">
        <f t="shared" si="4"/>
        <v>100</v>
      </c>
      <c r="K9" s="128"/>
      <c r="L9" s="570"/>
      <c r="M9" s="570"/>
      <c r="N9" s="966"/>
      <c r="O9" s="128"/>
      <c r="P9" s="477">
        <f t="shared" si="0"/>
        <v>5000</v>
      </c>
      <c r="Q9" s="477">
        <f t="shared" si="1"/>
        <v>5000</v>
      </c>
      <c r="R9" s="1020">
        <f t="shared" si="5"/>
        <v>100</v>
      </c>
    </row>
    <row r="10" spans="1:18" ht="12" customHeight="1" x14ac:dyDescent="0.2">
      <c r="B10" s="132">
        <f t="shared" si="2"/>
        <v>6</v>
      </c>
      <c r="C10" s="126"/>
      <c r="D10" s="126"/>
      <c r="E10" s="127" t="s">
        <v>252</v>
      </c>
      <c r="F10" s="479">
        <v>640</v>
      </c>
      <c r="G10" s="214" t="s">
        <v>597</v>
      </c>
      <c r="H10" s="570">
        <v>8500</v>
      </c>
      <c r="I10" s="570">
        <v>8500</v>
      </c>
      <c r="J10" s="966">
        <f t="shared" si="4"/>
        <v>100</v>
      </c>
      <c r="K10" s="128"/>
      <c r="L10" s="570"/>
      <c r="M10" s="570"/>
      <c r="N10" s="966"/>
      <c r="O10" s="128"/>
      <c r="P10" s="477">
        <f t="shared" si="0"/>
        <v>8500</v>
      </c>
      <c r="Q10" s="477">
        <f t="shared" si="1"/>
        <v>8500</v>
      </c>
      <c r="R10" s="1020">
        <f t="shared" si="5"/>
        <v>100</v>
      </c>
    </row>
    <row r="11" spans="1:18" s="485" customFormat="1" ht="14.25" customHeight="1" x14ac:dyDescent="0.2">
      <c r="A11" s="482"/>
      <c r="B11" s="132">
        <f t="shared" si="2"/>
        <v>7</v>
      </c>
      <c r="C11" s="483"/>
      <c r="D11" s="494"/>
      <c r="E11" s="479" t="s">
        <v>263</v>
      </c>
      <c r="F11" s="479">
        <v>640</v>
      </c>
      <c r="G11" s="486" t="s">
        <v>819</v>
      </c>
      <c r="H11" s="576">
        <v>1500</v>
      </c>
      <c r="I11" s="576">
        <v>1500</v>
      </c>
      <c r="J11" s="967">
        <f t="shared" si="4"/>
        <v>100</v>
      </c>
      <c r="K11" s="475"/>
      <c r="L11" s="577"/>
      <c r="M11" s="577"/>
      <c r="N11" s="1017"/>
      <c r="O11" s="475"/>
      <c r="P11" s="528">
        <f t="shared" si="0"/>
        <v>1500</v>
      </c>
      <c r="Q11" s="528">
        <f t="shared" si="1"/>
        <v>1500</v>
      </c>
      <c r="R11" s="1021">
        <f t="shared" si="5"/>
        <v>100</v>
      </c>
    </row>
    <row r="12" spans="1:18" s="485" customFormat="1" ht="14.25" customHeight="1" x14ac:dyDescent="0.2">
      <c r="A12" s="482"/>
      <c r="B12" s="132">
        <f t="shared" si="2"/>
        <v>8</v>
      </c>
      <c r="C12" s="483"/>
      <c r="D12" s="494"/>
      <c r="E12" s="479" t="s">
        <v>263</v>
      </c>
      <c r="F12" s="479">
        <v>640</v>
      </c>
      <c r="G12" s="516" t="s">
        <v>576</v>
      </c>
      <c r="H12" s="576">
        <v>3000</v>
      </c>
      <c r="I12" s="576">
        <v>3000</v>
      </c>
      <c r="J12" s="967">
        <f t="shared" si="4"/>
        <v>100</v>
      </c>
      <c r="K12" s="475"/>
      <c r="L12" s="577"/>
      <c r="M12" s="577"/>
      <c r="N12" s="1017"/>
      <c r="O12" s="475"/>
      <c r="P12" s="528">
        <f t="shared" si="0"/>
        <v>3000</v>
      </c>
      <c r="Q12" s="528">
        <f t="shared" si="1"/>
        <v>3000</v>
      </c>
      <c r="R12" s="1021">
        <f t="shared" si="5"/>
        <v>100</v>
      </c>
    </row>
    <row r="13" spans="1:18" s="485" customFormat="1" ht="14.25" customHeight="1" x14ac:dyDescent="0.2">
      <c r="A13" s="482"/>
      <c r="B13" s="132">
        <f t="shared" si="2"/>
        <v>9</v>
      </c>
      <c r="C13" s="483"/>
      <c r="D13" s="494"/>
      <c r="E13" s="479" t="s">
        <v>263</v>
      </c>
      <c r="F13" s="479">
        <v>640</v>
      </c>
      <c r="G13" s="516" t="s">
        <v>737</v>
      </c>
      <c r="H13" s="576">
        <v>2000</v>
      </c>
      <c r="I13" s="576">
        <v>2000</v>
      </c>
      <c r="J13" s="967">
        <f t="shared" si="4"/>
        <v>100</v>
      </c>
      <c r="K13" s="475"/>
      <c r="L13" s="577"/>
      <c r="M13" s="577"/>
      <c r="N13" s="1017"/>
      <c r="O13" s="475"/>
      <c r="P13" s="528">
        <f t="shared" si="0"/>
        <v>2000</v>
      </c>
      <c r="Q13" s="528">
        <f t="shared" si="1"/>
        <v>2000</v>
      </c>
      <c r="R13" s="1021">
        <f t="shared" si="5"/>
        <v>100</v>
      </c>
    </row>
    <row r="14" spans="1:18" s="485" customFormat="1" ht="14.25" customHeight="1" x14ac:dyDescent="0.2">
      <c r="A14" s="482"/>
      <c r="B14" s="132">
        <f t="shared" si="2"/>
        <v>10</v>
      </c>
      <c r="C14" s="483"/>
      <c r="D14" s="494"/>
      <c r="E14" s="479" t="s">
        <v>263</v>
      </c>
      <c r="F14" s="479">
        <v>640</v>
      </c>
      <c r="G14" s="516" t="s">
        <v>738</v>
      </c>
      <c r="H14" s="576">
        <v>2000</v>
      </c>
      <c r="I14" s="576">
        <v>2000</v>
      </c>
      <c r="J14" s="967">
        <f t="shared" si="4"/>
        <v>100</v>
      </c>
      <c r="K14" s="475"/>
      <c r="L14" s="577"/>
      <c r="M14" s="577"/>
      <c r="N14" s="1017"/>
      <c r="O14" s="475"/>
      <c r="P14" s="528">
        <f t="shared" si="0"/>
        <v>2000</v>
      </c>
      <c r="Q14" s="528">
        <f t="shared" si="1"/>
        <v>2000</v>
      </c>
      <c r="R14" s="1021">
        <f t="shared" si="5"/>
        <v>100</v>
      </c>
    </row>
    <row r="15" spans="1:18" s="485" customFormat="1" ht="30.75" customHeight="1" x14ac:dyDescent="0.2">
      <c r="A15" s="482"/>
      <c r="B15" s="798">
        <f t="shared" si="2"/>
        <v>11</v>
      </c>
      <c r="C15" s="483"/>
      <c r="D15" s="494"/>
      <c r="E15" s="479" t="s">
        <v>263</v>
      </c>
      <c r="F15" s="479">
        <v>640</v>
      </c>
      <c r="G15" s="516" t="s">
        <v>817</v>
      </c>
      <c r="H15" s="576">
        <v>8000</v>
      </c>
      <c r="I15" s="576">
        <v>8000</v>
      </c>
      <c r="J15" s="967">
        <f t="shared" si="4"/>
        <v>100</v>
      </c>
      <c r="K15" s="475"/>
      <c r="L15" s="577"/>
      <c r="M15" s="577"/>
      <c r="N15" s="1017"/>
      <c r="O15" s="475"/>
      <c r="P15" s="528">
        <f t="shared" si="0"/>
        <v>8000</v>
      </c>
      <c r="Q15" s="528">
        <f t="shared" si="1"/>
        <v>8000</v>
      </c>
      <c r="R15" s="1021">
        <f t="shared" si="5"/>
        <v>100</v>
      </c>
    </row>
    <row r="16" spans="1:18" s="485" customFormat="1" ht="30.75" customHeight="1" x14ac:dyDescent="0.2">
      <c r="A16" s="482"/>
      <c r="B16" s="798">
        <f t="shared" si="2"/>
        <v>12</v>
      </c>
      <c r="C16" s="483"/>
      <c r="D16" s="494"/>
      <c r="E16" s="488" t="s">
        <v>263</v>
      </c>
      <c r="F16" s="488">
        <v>640</v>
      </c>
      <c r="G16" s="516" t="s">
        <v>818</v>
      </c>
      <c r="H16" s="576">
        <v>1500</v>
      </c>
      <c r="I16" s="576">
        <v>1500</v>
      </c>
      <c r="J16" s="967">
        <f t="shared" si="4"/>
        <v>100</v>
      </c>
      <c r="K16" s="475"/>
      <c r="L16" s="577"/>
      <c r="M16" s="577"/>
      <c r="N16" s="1017"/>
      <c r="O16" s="475"/>
      <c r="P16" s="528">
        <f t="shared" si="0"/>
        <v>1500</v>
      </c>
      <c r="Q16" s="528">
        <f t="shared" si="1"/>
        <v>1500</v>
      </c>
      <c r="R16" s="1021">
        <f t="shared" si="5"/>
        <v>100</v>
      </c>
    </row>
    <row r="17" spans="1:18" s="485" customFormat="1" ht="30.75" customHeight="1" x14ac:dyDescent="0.2">
      <c r="A17" s="482"/>
      <c r="B17" s="798">
        <f t="shared" si="2"/>
        <v>13</v>
      </c>
      <c r="C17" s="483"/>
      <c r="D17" s="494"/>
      <c r="E17" s="488" t="s">
        <v>263</v>
      </c>
      <c r="F17" s="488">
        <v>640</v>
      </c>
      <c r="G17" s="516" t="s">
        <v>864</v>
      </c>
      <c r="H17" s="576">
        <v>45000</v>
      </c>
      <c r="I17" s="576">
        <v>45000</v>
      </c>
      <c r="J17" s="967">
        <f t="shared" si="4"/>
        <v>100</v>
      </c>
      <c r="K17" s="475"/>
      <c r="L17" s="577"/>
      <c r="M17" s="577"/>
      <c r="N17" s="1017"/>
      <c r="O17" s="475"/>
      <c r="P17" s="528">
        <f t="shared" ref="P17" si="6">H17+L17</f>
        <v>45000</v>
      </c>
      <c r="Q17" s="528">
        <f t="shared" si="1"/>
        <v>45000</v>
      </c>
      <c r="R17" s="1021">
        <f t="shared" si="5"/>
        <v>100</v>
      </c>
    </row>
    <row r="18" spans="1:18" s="485" customFormat="1" ht="15" customHeight="1" x14ac:dyDescent="0.2">
      <c r="A18" s="482"/>
      <c r="B18" s="798">
        <f t="shared" si="2"/>
        <v>14</v>
      </c>
      <c r="C18" s="483"/>
      <c r="D18" s="494"/>
      <c r="E18" s="488" t="s">
        <v>263</v>
      </c>
      <c r="F18" s="488">
        <v>640</v>
      </c>
      <c r="G18" s="516" t="s">
        <v>880</v>
      </c>
      <c r="H18" s="576">
        <v>30000</v>
      </c>
      <c r="I18" s="576">
        <v>30000</v>
      </c>
      <c r="J18" s="967">
        <f t="shared" si="4"/>
        <v>100</v>
      </c>
      <c r="K18" s="475"/>
      <c r="L18" s="577"/>
      <c r="M18" s="577"/>
      <c r="N18" s="1017"/>
      <c r="O18" s="475"/>
      <c r="P18" s="528">
        <f t="shared" ref="P18" si="7">H18+L18</f>
        <v>30000</v>
      </c>
      <c r="Q18" s="528">
        <f t="shared" si="1"/>
        <v>30000</v>
      </c>
      <c r="R18" s="1021">
        <f t="shared" si="5"/>
        <v>100</v>
      </c>
    </row>
    <row r="19" spans="1:18" ht="15" customHeight="1" x14ac:dyDescent="0.25">
      <c r="B19" s="798">
        <f t="shared" si="2"/>
        <v>15</v>
      </c>
      <c r="C19" s="23">
        <v>3</v>
      </c>
      <c r="D19" s="123" t="s">
        <v>143</v>
      </c>
      <c r="E19" s="24"/>
      <c r="F19" s="24"/>
      <c r="G19" s="192"/>
      <c r="H19" s="413">
        <f>H20+H23+H31+H47+H63</f>
        <v>1134850</v>
      </c>
      <c r="I19" s="413">
        <f>I20+I23+I31+I47+I63</f>
        <v>1110209</v>
      </c>
      <c r="J19" s="972">
        <f t="shared" si="4"/>
        <v>97.828699828171125</v>
      </c>
      <c r="K19" s="86"/>
      <c r="L19" s="380">
        <f>L20+L23+L31+L47</f>
        <v>62600</v>
      </c>
      <c r="M19" s="380">
        <f>M20+M23+M31+M47</f>
        <v>50087</v>
      </c>
      <c r="N19" s="972">
        <f t="shared" ref="N19:N65" si="8">M19/L19*100</f>
        <v>80.011182108626201</v>
      </c>
      <c r="O19" s="86"/>
      <c r="P19" s="372">
        <f>H19+L19</f>
        <v>1197450</v>
      </c>
      <c r="Q19" s="372">
        <f t="shared" si="1"/>
        <v>1160296</v>
      </c>
      <c r="R19" s="981">
        <f t="shared" si="5"/>
        <v>96.897239968265907</v>
      </c>
    </row>
    <row r="20" spans="1:18" x14ac:dyDescent="0.2">
      <c r="A20" s="409"/>
      <c r="B20" s="798">
        <f t="shared" si="2"/>
        <v>16</v>
      </c>
      <c r="C20" s="74"/>
      <c r="D20" s="199" t="s">
        <v>4</v>
      </c>
      <c r="E20" s="218" t="s">
        <v>112</v>
      </c>
      <c r="F20" s="218"/>
      <c r="G20" s="219"/>
      <c r="H20" s="376">
        <f>SUM(H21:H22)</f>
        <v>161300</v>
      </c>
      <c r="I20" s="376">
        <f t="shared" ref="I20" si="9">SUM(I21:I22)</f>
        <v>160747</v>
      </c>
      <c r="J20" s="965">
        <f t="shared" si="4"/>
        <v>99.657160570365775</v>
      </c>
      <c r="K20" s="20"/>
      <c r="L20" s="402">
        <v>0</v>
      </c>
      <c r="M20" s="402"/>
      <c r="N20" s="996"/>
      <c r="O20" s="20"/>
      <c r="P20" s="210">
        <f>H20+L20</f>
        <v>161300</v>
      </c>
      <c r="Q20" s="210">
        <f t="shared" si="1"/>
        <v>160747</v>
      </c>
      <c r="R20" s="982">
        <f t="shared" si="5"/>
        <v>99.657160570365775</v>
      </c>
    </row>
    <row r="21" spans="1:18" ht="12" customHeight="1" x14ac:dyDescent="0.2">
      <c r="B21" s="798">
        <f t="shared" si="2"/>
        <v>17</v>
      </c>
      <c r="C21" s="126"/>
      <c r="D21" s="126"/>
      <c r="E21" s="130" t="s">
        <v>263</v>
      </c>
      <c r="F21" s="363">
        <v>636</v>
      </c>
      <c r="G21" s="490" t="s">
        <v>705</v>
      </c>
      <c r="H21" s="398">
        <v>160000</v>
      </c>
      <c r="I21" s="398">
        <v>159950</v>
      </c>
      <c r="J21" s="966">
        <f t="shared" si="4"/>
        <v>99.96875</v>
      </c>
      <c r="K21" s="128"/>
      <c r="L21" s="570"/>
      <c r="M21" s="570"/>
      <c r="N21" s="966"/>
      <c r="O21" s="128"/>
      <c r="P21" s="572">
        <f>H21+L21</f>
        <v>160000</v>
      </c>
      <c r="Q21" s="572">
        <f t="shared" si="1"/>
        <v>159950</v>
      </c>
      <c r="R21" s="986">
        <f t="shared" si="5"/>
        <v>99.96875</v>
      </c>
    </row>
    <row r="22" spans="1:18" ht="12" customHeight="1" x14ac:dyDescent="0.2">
      <c r="B22" s="798">
        <f t="shared" si="2"/>
        <v>18</v>
      </c>
      <c r="C22" s="126"/>
      <c r="D22" s="126"/>
      <c r="E22" s="130" t="s">
        <v>263</v>
      </c>
      <c r="F22" s="363">
        <v>637</v>
      </c>
      <c r="G22" s="490" t="s">
        <v>304</v>
      </c>
      <c r="H22" s="398">
        <v>1300</v>
      </c>
      <c r="I22" s="398">
        <v>797</v>
      </c>
      <c r="J22" s="966">
        <f t="shared" si="4"/>
        <v>61.307692307692307</v>
      </c>
      <c r="K22" s="128"/>
      <c r="L22" s="570"/>
      <c r="M22" s="570"/>
      <c r="N22" s="966"/>
      <c r="O22" s="128"/>
      <c r="P22" s="572">
        <f>H22+L22</f>
        <v>1300</v>
      </c>
      <c r="Q22" s="572">
        <f t="shared" si="1"/>
        <v>797</v>
      </c>
      <c r="R22" s="986">
        <f t="shared" si="5"/>
        <v>61.307692307692307</v>
      </c>
    </row>
    <row r="23" spans="1:18" x14ac:dyDescent="0.2">
      <c r="B23" s="798">
        <f t="shared" si="2"/>
        <v>19</v>
      </c>
      <c r="C23" s="74"/>
      <c r="D23" s="199" t="s">
        <v>5</v>
      </c>
      <c r="E23" s="218" t="s">
        <v>113</v>
      </c>
      <c r="F23" s="218"/>
      <c r="G23" s="219"/>
      <c r="H23" s="376">
        <f>SUM(H24:H30)</f>
        <v>164200</v>
      </c>
      <c r="I23" s="376">
        <f>SUM(I24:I30)</f>
        <v>163933</v>
      </c>
      <c r="J23" s="965">
        <f t="shared" si="4"/>
        <v>99.837393422655296</v>
      </c>
      <c r="K23" s="20"/>
      <c r="L23" s="402">
        <f>L30</f>
        <v>17000</v>
      </c>
      <c r="M23" s="402">
        <f t="shared" ref="M23" si="10">M30</f>
        <v>5400</v>
      </c>
      <c r="N23" s="996">
        <f t="shared" si="8"/>
        <v>31.764705882352938</v>
      </c>
      <c r="O23" s="20"/>
      <c r="P23" s="210">
        <f t="shared" ref="P23:P41" si="11">H23+L23</f>
        <v>181200</v>
      </c>
      <c r="Q23" s="210">
        <f t="shared" si="1"/>
        <v>169333</v>
      </c>
      <c r="R23" s="982">
        <f t="shared" si="5"/>
        <v>93.450883002207505</v>
      </c>
    </row>
    <row r="24" spans="1:18" s="485" customFormat="1" ht="23.25" customHeight="1" x14ac:dyDescent="0.2">
      <c r="A24" s="482"/>
      <c r="B24" s="798">
        <f t="shared" si="2"/>
        <v>20</v>
      </c>
      <c r="C24" s="483"/>
      <c r="D24" s="483"/>
      <c r="E24" s="479" t="s">
        <v>263</v>
      </c>
      <c r="F24" s="589">
        <v>640</v>
      </c>
      <c r="G24" s="486" t="s">
        <v>580</v>
      </c>
      <c r="H24" s="579">
        <v>160000</v>
      </c>
      <c r="I24" s="579">
        <v>160000</v>
      </c>
      <c r="J24" s="967">
        <f t="shared" si="4"/>
        <v>100</v>
      </c>
      <c r="K24" s="475"/>
      <c r="L24" s="576"/>
      <c r="M24" s="576"/>
      <c r="N24" s="967"/>
      <c r="O24" s="475"/>
      <c r="P24" s="484">
        <f t="shared" si="11"/>
        <v>160000</v>
      </c>
      <c r="Q24" s="484">
        <f t="shared" si="1"/>
        <v>160000</v>
      </c>
      <c r="R24" s="1013">
        <f t="shared" si="5"/>
        <v>100</v>
      </c>
    </row>
    <row r="25" spans="1:18" s="485" customFormat="1" ht="21.75" customHeight="1" x14ac:dyDescent="0.2">
      <c r="A25" s="482"/>
      <c r="B25" s="798">
        <f t="shared" si="2"/>
        <v>21</v>
      </c>
      <c r="C25" s="483"/>
      <c r="D25" s="483"/>
      <c r="E25" s="479" t="s">
        <v>263</v>
      </c>
      <c r="F25" s="589">
        <v>640</v>
      </c>
      <c r="G25" s="486" t="s">
        <v>577</v>
      </c>
      <c r="H25" s="579">
        <f>1500-1125</f>
        <v>375</v>
      </c>
      <c r="I25" s="579">
        <v>375</v>
      </c>
      <c r="J25" s="967">
        <f t="shared" si="4"/>
        <v>100</v>
      </c>
      <c r="K25" s="475"/>
      <c r="L25" s="576"/>
      <c r="M25" s="576"/>
      <c r="N25" s="967"/>
      <c r="O25" s="475"/>
      <c r="P25" s="484">
        <f t="shared" si="11"/>
        <v>375</v>
      </c>
      <c r="Q25" s="484">
        <f t="shared" si="1"/>
        <v>375</v>
      </c>
      <c r="R25" s="1013">
        <f t="shared" si="5"/>
        <v>100</v>
      </c>
    </row>
    <row r="26" spans="1:18" s="485" customFormat="1" ht="21.75" customHeight="1" x14ac:dyDescent="0.2">
      <c r="A26" s="482"/>
      <c r="B26" s="798">
        <f t="shared" si="2"/>
        <v>22</v>
      </c>
      <c r="C26" s="483"/>
      <c r="D26" s="483"/>
      <c r="E26" s="479" t="s">
        <v>263</v>
      </c>
      <c r="F26" s="589">
        <v>632</v>
      </c>
      <c r="G26" s="486" t="s">
        <v>748</v>
      </c>
      <c r="H26" s="579">
        <f>1125-500</f>
        <v>625</v>
      </c>
      <c r="I26" s="579">
        <v>612</v>
      </c>
      <c r="J26" s="967">
        <f t="shared" si="4"/>
        <v>97.92</v>
      </c>
      <c r="K26" s="475"/>
      <c r="L26" s="576"/>
      <c r="M26" s="576"/>
      <c r="N26" s="967"/>
      <c r="O26" s="475"/>
      <c r="P26" s="484">
        <f t="shared" ref="P26" si="12">H26+L26</f>
        <v>625</v>
      </c>
      <c r="Q26" s="484">
        <f t="shared" si="1"/>
        <v>612</v>
      </c>
      <c r="R26" s="1013">
        <f t="shared" si="5"/>
        <v>97.92</v>
      </c>
    </row>
    <row r="27" spans="1:18" ht="12" customHeight="1" x14ac:dyDescent="0.2">
      <c r="B27" s="798">
        <f t="shared" si="2"/>
        <v>23</v>
      </c>
      <c r="C27" s="126"/>
      <c r="D27" s="126"/>
      <c r="E27" s="130" t="s">
        <v>263</v>
      </c>
      <c r="F27" s="588">
        <v>637</v>
      </c>
      <c r="G27" s="490" t="s">
        <v>547</v>
      </c>
      <c r="H27" s="398">
        <v>1200</v>
      </c>
      <c r="I27" s="398">
        <v>1006</v>
      </c>
      <c r="J27" s="966">
        <f t="shared" si="4"/>
        <v>83.833333333333343</v>
      </c>
      <c r="K27" s="128"/>
      <c r="L27" s="570"/>
      <c r="M27" s="570"/>
      <c r="N27" s="966"/>
      <c r="O27" s="128"/>
      <c r="P27" s="484">
        <f t="shared" si="11"/>
        <v>1200</v>
      </c>
      <c r="Q27" s="484">
        <f t="shared" si="1"/>
        <v>1006</v>
      </c>
      <c r="R27" s="1013">
        <f t="shared" si="5"/>
        <v>83.833333333333343</v>
      </c>
    </row>
    <row r="28" spans="1:18" s="485" customFormat="1" ht="23.25" customHeight="1" x14ac:dyDescent="0.2">
      <c r="A28" s="482"/>
      <c r="B28" s="798">
        <f t="shared" si="2"/>
        <v>24</v>
      </c>
      <c r="C28" s="483"/>
      <c r="D28" s="483"/>
      <c r="E28" s="479" t="s">
        <v>263</v>
      </c>
      <c r="F28" s="589">
        <v>640</v>
      </c>
      <c r="G28" s="486" t="s">
        <v>579</v>
      </c>
      <c r="H28" s="579">
        <f>1500-1000</f>
        <v>500</v>
      </c>
      <c r="I28" s="579">
        <v>500</v>
      </c>
      <c r="J28" s="967">
        <f t="shared" si="4"/>
        <v>100</v>
      </c>
      <c r="K28" s="475"/>
      <c r="L28" s="577"/>
      <c r="M28" s="577"/>
      <c r="N28" s="1017"/>
      <c r="O28" s="475"/>
      <c r="P28" s="484">
        <f t="shared" si="11"/>
        <v>500</v>
      </c>
      <c r="Q28" s="484">
        <f t="shared" si="1"/>
        <v>500</v>
      </c>
      <c r="R28" s="1013">
        <f t="shared" si="5"/>
        <v>100</v>
      </c>
    </row>
    <row r="29" spans="1:18" s="485" customFormat="1" ht="23.25" customHeight="1" x14ac:dyDescent="0.2">
      <c r="A29" s="482"/>
      <c r="B29" s="798">
        <f t="shared" si="2"/>
        <v>25</v>
      </c>
      <c r="C29" s="483"/>
      <c r="D29" s="483"/>
      <c r="E29" s="479" t="s">
        <v>263</v>
      </c>
      <c r="F29" s="589">
        <v>632</v>
      </c>
      <c r="G29" s="486" t="s">
        <v>812</v>
      </c>
      <c r="H29" s="579">
        <f>1000+500</f>
        <v>1500</v>
      </c>
      <c r="I29" s="579">
        <v>1440</v>
      </c>
      <c r="J29" s="967">
        <f t="shared" si="4"/>
        <v>96</v>
      </c>
      <c r="K29" s="475"/>
      <c r="L29" s="577"/>
      <c r="M29" s="577"/>
      <c r="N29" s="1017"/>
      <c r="O29" s="475"/>
      <c r="P29" s="484">
        <f t="shared" si="11"/>
        <v>1500</v>
      </c>
      <c r="Q29" s="484">
        <f t="shared" si="1"/>
        <v>1440</v>
      </c>
      <c r="R29" s="1013">
        <f t="shared" si="5"/>
        <v>96</v>
      </c>
    </row>
    <row r="30" spans="1:18" s="485" customFormat="1" ht="16.5" customHeight="1" x14ac:dyDescent="0.2">
      <c r="A30" s="482"/>
      <c r="B30" s="798">
        <f t="shared" si="2"/>
        <v>26</v>
      </c>
      <c r="C30" s="483"/>
      <c r="D30" s="483"/>
      <c r="E30" s="701" t="s">
        <v>263</v>
      </c>
      <c r="F30" s="787">
        <v>717</v>
      </c>
      <c r="G30" s="788" t="s">
        <v>791</v>
      </c>
      <c r="H30" s="789"/>
      <c r="I30" s="789"/>
      <c r="J30" s="967"/>
      <c r="K30" s="790"/>
      <c r="L30" s="791">
        <v>17000</v>
      </c>
      <c r="M30" s="791">
        <v>5400</v>
      </c>
      <c r="N30" s="1017">
        <f t="shared" si="8"/>
        <v>31.764705882352938</v>
      </c>
      <c r="O30" s="790"/>
      <c r="P30" s="792">
        <f t="shared" si="11"/>
        <v>17000</v>
      </c>
      <c r="Q30" s="792">
        <f t="shared" si="1"/>
        <v>5400</v>
      </c>
      <c r="R30" s="1013">
        <f t="shared" si="5"/>
        <v>31.764705882352938</v>
      </c>
    </row>
    <row r="31" spans="1:18" x14ac:dyDescent="0.2">
      <c r="B31" s="798">
        <f t="shared" si="2"/>
        <v>27</v>
      </c>
      <c r="C31" s="74"/>
      <c r="D31" s="199" t="s">
        <v>6</v>
      </c>
      <c r="E31" s="218" t="s">
        <v>74</v>
      </c>
      <c r="F31" s="218"/>
      <c r="G31" s="219"/>
      <c r="H31" s="376">
        <f>H32+H43</f>
        <v>440250</v>
      </c>
      <c r="I31" s="376">
        <f t="shared" ref="I31" si="13">I32+I43</f>
        <v>432225</v>
      </c>
      <c r="J31" s="965">
        <f t="shared" si="4"/>
        <v>98.17717206132879</v>
      </c>
      <c r="K31" s="20"/>
      <c r="L31" s="402">
        <f>L32+L45</f>
        <v>30000</v>
      </c>
      <c r="M31" s="402">
        <f t="shared" ref="M31" si="14">M32+M45</f>
        <v>29907</v>
      </c>
      <c r="N31" s="996">
        <f t="shared" si="8"/>
        <v>99.69</v>
      </c>
      <c r="O31" s="20"/>
      <c r="P31" s="210">
        <f t="shared" si="11"/>
        <v>470250</v>
      </c>
      <c r="Q31" s="210">
        <f t="shared" si="1"/>
        <v>462132</v>
      </c>
      <c r="R31" s="982">
        <f t="shared" si="5"/>
        <v>98.273684210526312</v>
      </c>
    </row>
    <row r="32" spans="1:18" ht="12" customHeight="1" x14ac:dyDescent="0.2">
      <c r="B32" s="132">
        <f t="shared" si="2"/>
        <v>28</v>
      </c>
      <c r="C32" s="126"/>
      <c r="D32" s="183"/>
      <c r="E32" s="130" t="s">
        <v>263</v>
      </c>
      <c r="F32" s="230" t="s">
        <v>539</v>
      </c>
      <c r="G32" s="231"/>
      <c r="H32" s="393">
        <f>H33+H34+H35+H41</f>
        <v>437550</v>
      </c>
      <c r="I32" s="393">
        <f t="shared" ref="I32" si="15">I33+I34+I35+I41</f>
        <v>429593</v>
      </c>
      <c r="J32" s="965">
        <f t="shared" si="4"/>
        <v>98.181464975431382</v>
      </c>
      <c r="K32" s="128"/>
      <c r="L32" s="403"/>
      <c r="M32" s="403"/>
      <c r="N32" s="996"/>
      <c r="O32" s="128"/>
      <c r="P32" s="271">
        <f t="shared" si="11"/>
        <v>437550</v>
      </c>
      <c r="Q32" s="271">
        <f t="shared" si="1"/>
        <v>429593</v>
      </c>
      <c r="R32" s="1001">
        <f t="shared" si="5"/>
        <v>98.181464975431382</v>
      </c>
    </row>
    <row r="33" spans="2:18" ht="12" customHeight="1" x14ac:dyDescent="0.2">
      <c r="B33" s="132">
        <f t="shared" si="2"/>
        <v>29</v>
      </c>
      <c r="C33" s="126"/>
      <c r="D33" s="126"/>
      <c r="E33" s="130"/>
      <c r="F33" s="149">
        <v>610</v>
      </c>
      <c r="G33" s="201" t="s">
        <v>257</v>
      </c>
      <c r="H33" s="387">
        <v>94460</v>
      </c>
      <c r="I33" s="387">
        <v>94247</v>
      </c>
      <c r="J33" s="965">
        <f t="shared" si="4"/>
        <v>99.7745077281389</v>
      </c>
      <c r="K33" s="128"/>
      <c r="L33" s="570"/>
      <c r="M33" s="570"/>
      <c r="N33" s="966"/>
      <c r="O33" s="128"/>
      <c r="P33" s="272">
        <f t="shared" si="11"/>
        <v>94460</v>
      </c>
      <c r="Q33" s="272">
        <f t="shared" si="1"/>
        <v>94247</v>
      </c>
      <c r="R33" s="1001">
        <f t="shared" si="5"/>
        <v>99.7745077281389</v>
      </c>
    </row>
    <row r="34" spans="2:18" ht="12" customHeight="1" x14ac:dyDescent="0.2">
      <c r="B34" s="132">
        <f t="shared" si="2"/>
        <v>30</v>
      </c>
      <c r="C34" s="126"/>
      <c r="D34" s="126"/>
      <c r="E34" s="130"/>
      <c r="F34" s="149">
        <v>620</v>
      </c>
      <c r="G34" s="201" t="s">
        <v>259</v>
      </c>
      <c r="H34" s="387">
        <v>33370</v>
      </c>
      <c r="I34" s="387">
        <v>32054</v>
      </c>
      <c r="J34" s="965">
        <f t="shared" si="4"/>
        <v>96.056338028169023</v>
      </c>
      <c r="K34" s="128"/>
      <c r="L34" s="570"/>
      <c r="M34" s="570"/>
      <c r="N34" s="966"/>
      <c r="O34" s="128"/>
      <c r="P34" s="272">
        <f t="shared" si="11"/>
        <v>33370</v>
      </c>
      <c r="Q34" s="272">
        <f t="shared" si="1"/>
        <v>32054</v>
      </c>
      <c r="R34" s="1001">
        <f t="shared" si="5"/>
        <v>96.056338028169023</v>
      </c>
    </row>
    <row r="35" spans="2:18" ht="12" customHeight="1" x14ac:dyDescent="0.2">
      <c r="B35" s="132">
        <f t="shared" si="2"/>
        <v>31</v>
      </c>
      <c r="C35" s="126"/>
      <c r="D35" s="126"/>
      <c r="E35" s="130"/>
      <c r="F35" s="149">
        <v>630</v>
      </c>
      <c r="G35" s="201" t="s">
        <v>448</v>
      </c>
      <c r="H35" s="387">
        <f>SUM(H36:H40)</f>
        <v>309570</v>
      </c>
      <c r="I35" s="387">
        <f t="shared" ref="I35" si="16">SUM(I36:I40)</f>
        <v>303174</v>
      </c>
      <c r="J35" s="965">
        <f t="shared" si="4"/>
        <v>97.933908324450044</v>
      </c>
      <c r="K35" s="128"/>
      <c r="L35" s="570"/>
      <c r="M35" s="570"/>
      <c r="N35" s="966"/>
      <c r="O35" s="128"/>
      <c r="P35" s="272">
        <f t="shared" si="11"/>
        <v>309570</v>
      </c>
      <c r="Q35" s="272">
        <f t="shared" si="1"/>
        <v>303174</v>
      </c>
      <c r="R35" s="1001">
        <f t="shared" si="5"/>
        <v>97.933908324450044</v>
      </c>
    </row>
    <row r="36" spans="2:18" ht="12" customHeight="1" x14ac:dyDescent="0.2">
      <c r="B36" s="132">
        <f t="shared" si="2"/>
        <v>32</v>
      </c>
      <c r="C36" s="126"/>
      <c r="D36" s="126"/>
      <c r="E36" s="130"/>
      <c r="F36" s="157">
        <v>632</v>
      </c>
      <c r="G36" s="193" t="s">
        <v>500</v>
      </c>
      <c r="H36" s="570">
        <f>206470+32000</f>
        <v>238470</v>
      </c>
      <c r="I36" s="570">
        <v>235027</v>
      </c>
      <c r="J36" s="966">
        <f t="shared" si="4"/>
        <v>98.556212521491176</v>
      </c>
      <c r="K36" s="128"/>
      <c r="L36" s="570"/>
      <c r="M36" s="570"/>
      <c r="N36" s="966"/>
      <c r="O36" s="128"/>
      <c r="P36" s="572">
        <f t="shared" si="11"/>
        <v>238470</v>
      </c>
      <c r="Q36" s="572">
        <f t="shared" si="1"/>
        <v>235027</v>
      </c>
      <c r="R36" s="986">
        <f t="shared" si="5"/>
        <v>98.556212521491176</v>
      </c>
    </row>
    <row r="37" spans="2:18" ht="12" customHeight="1" x14ac:dyDescent="0.2">
      <c r="B37" s="132">
        <f t="shared" si="2"/>
        <v>33</v>
      </c>
      <c r="C37" s="126"/>
      <c r="D37" s="126"/>
      <c r="E37" s="130"/>
      <c r="F37" s="157">
        <v>633</v>
      </c>
      <c r="G37" s="193" t="s">
        <v>247</v>
      </c>
      <c r="H37" s="570">
        <f>12200+3500</f>
        <v>15700</v>
      </c>
      <c r="I37" s="570">
        <v>15608</v>
      </c>
      <c r="J37" s="966">
        <f t="shared" si="4"/>
        <v>99.414012738853501</v>
      </c>
      <c r="K37" s="128"/>
      <c r="L37" s="570"/>
      <c r="M37" s="570"/>
      <c r="N37" s="966"/>
      <c r="O37" s="128"/>
      <c r="P37" s="572">
        <f t="shared" si="11"/>
        <v>15700</v>
      </c>
      <c r="Q37" s="572">
        <f t="shared" si="1"/>
        <v>15608</v>
      </c>
      <c r="R37" s="986">
        <f t="shared" si="5"/>
        <v>99.414012738853501</v>
      </c>
    </row>
    <row r="38" spans="2:18" ht="12" customHeight="1" x14ac:dyDescent="0.2">
      <c r="B38" s="132">
        <f t="shared" si="2"/>
        <v>34</v>
      </c>
      <c r="C38" s="126"/>
      <c r="D38" s="126"/>
      <c r="E38" s="130"/>
      <c r="F38" s="157">
        <v>635</v>
      </c>
      <c r="G38" s="193" t="s">
        <v>261</v>
      </c>
      <c r="H38" s="570">
        <f>10000+11500</f>
        <v>21500</v>
      </c>
      <c r="I38" s="570">
        <v>20131</v>
      </c>
      <c r="J38" s="966">
        <f t="shared" si="4"/>
        <v>93.632558139534879</v>
      </c>
      <c r="K38" s="128"/>
      <c r="L38" s="570"/>
      <c r="M38" s="570"/>
      <c r="N38" s="966"/>
      <c r="O38" s="128"/>
      <c r="P38" s="572">
        <f t="shared" si="11"/>
        <v>21500</v>
      </c>
      <c r="Q38" s="572">
        <f t="shared" si="1"/>
        <v>20131</v>
      </c>
      <c r="R38" s="986">
        <f t="shared" si="5"/>
        <v>93.632558139534879</v>
      </c>
    </row>
    <row r="39" spans="2:18" ht="12" customHeight="1" x14ac:dyDescent="0.2">
      <c r="B39" s="132">
        <f t="shared" si="2"/>
        <v>35</v>
      </c>
      <c r="C39" s="126"/>
      <c r="D39" s="126"/>
      <c r="E39" s="130"/>
      <c r="F39" s="157">
        <v>636</v>
      </c>
      <c r="G39" s="193" t="s">
        <v>347</v>
      </c>
      <c r="H39" s="570">
        <v>200</v>
      </c>
      <c r="I39" s="570">
        <v>0</v>
      </c>
      <c r="J39" s="966">
        <f t="shared" si="4"/>
        <v>0</v>
      </c>
      <c r="K39" s="128"/>
      <c r="L39" s="570"/>
      <c r="M39" s="570"/>
      <c r="N39" s="966"/>
      <c r="O39" s="128"/>
      <c r="P39" s="572">
        <f t="shared" si="11"/>
        <v>200</v>
      </c>
      <c r="Q39" s="572">
        <f t="shared" si="1"/>
        <v>0</v>
      </c>
      <c r="R39" s="986">
        <f t="shared" si="5"/>
        <v>0</v>
      </c>
    </row>
    <row r="40" spans="2:18" ht="12" customHeight="1" x14ac:dyDescent="0.2">
      <c r="B40" s="132">
        <f t="shared" si="2"/>
        <v>36</v>
      </c>
      <c r="C40" s="126"/>
      <c r="D40" s="126"/>
      <c r="E40" s="130"/>
      <c r="F40" s="157">
        <v>637</v>
      </c>
      <c r="G40" s="193" t="s">
        <v>248</v>
      </c>
      <c r="H40" s="570">
        <f>33200+500</f>
        <v>33700</v>
      </c>
      <c r="I40" s="570">
        <v>32408</v>
      </c>
      <c r="J40" s="966">
        <f t="shared" si="4"/>
        <v>96.166172106824916</v>
      </c>
      <c r="K40" s="128"/>
      <c r="L40" s="570"/>
      <c r="M40" s="570"/>
      <c r="N40" s="966"/>
      <c r="O40" s="128"/>
      <c r="P40" s="572">
        <f t="shared" si="11"/>
        <v>33700</v>
      </c>
      <c r="Q40" s="572">
        <f t="shared" si="1"/>
        <v>32408</v>
      </c>
      <c r="R40" s="986">
        <f t="shared" si="5"/>
        <v>96.166172106824916</v>
      </c>
    </row>
    <row r="41" spans="2:18" ht="12" customHeight="1" x14ac:dyDescent="0.2">
      <c r="B41" s="132">
        <f t="shared" si="2"/>
        <v>37</v>
      </c>
      <c r="C41" s="126"/>
      <c r="D41" s="126"/>
      <c r="E41" s="162"/>
      <c r="F41" s="149">
        <v>640</v>
      </c>
      <c r="G41" s="201" t="s">
        <v>425</v>
      </c>
      <c r="H41" s="387">
        <f>100+50</f>
        <v>150</v>
      </c>
      <c r="I41" s="387">
        <v>118</v>
      </c>
      <c r="J41" s="965">
        <f t="shared" si="4"/>
        <v>78.666666666666657</v>
      </c>
      <c r="K41" s="128"/>
      <c r="L41" s="571"/>
      <c r="M41" s="571"/>
      <c r="N41" s="979"/>
      <c r="O41" s="128"/>
      <c r="P41" s="620">
        <f t="shared" si="11"/>
        <v>150</v>
      </c>
      <c r="Q41" s="620">
        <f t="shared" si="1"/>
        <v>118</v>
      </c>
      <c r="R41" s="982">
        <f t="shared" si="5"/>
        <v>78.666666666666657</v>
      </c>
    </row>
    <row r="42" spans="2:18" ht="12" customHeight="1" x14ac:dyDescent="0.2">
      <c r="B42" s="132">
        <f t="shared" si="2"/>
        <v>38</v>
      </c>
      <c r="C42" s="126"/>
      <c r="D42" s="126"/>
      <c r="E42" s="162"/>
      <c r="F42" s="149"/>
      <c r="G42" s="201"/>
      <c r="H42" s="387"/>
      <c r="I42" s="387"/>
      <c r="J42" s="965"/>
      <c r="K42" s="128"/>
      <c r="L42" s="571"/>
      <c r="M42" s="571"/>
      <c r="N42" s="979"/>
      <c r="O42" s="128"/>
      <c r="P42" s="133"/>
      <c r="Q42" s="133"/>
      <c r="R42" s="983"/>
    </row>
    <row r="43" spans="2:18" ht="12" customHeight="1" x14ac:dyDescent="0.2">
      <c r="B43" s="132">
        <f t="shared" si="2"/>
        <v>39</v>
      </c>
      <c r="C43" s="126"/>
      <c r="D43" s="126"/>
      <c r="E43" s="130" t="s">
        <v>263</v>
      </c>
      <c r="F43" s="158">
        <v>637</v>
      </c>
      <c r="G43" s="214" t="s">
        <v>304</v>
      </c>
      <c r="H43" s="570">
        <v>2700</v>
      </c>
      <c r="I43" s="570">
        <v>2632</v>
      </c>
      <c r="J43" s="966">
        <f t="shared" si="4"/>
        <v>97.481481481481481</v>
      </c>
      <c r="K43" s="128"/>
      <c r="L43" s="571"/>
      <c r="M43" s="571"/>
      <c r="N43" s="979"/>
      <c r="O43" s="128"/>
      <c r="P43" s="133">
        <f>H43+L43</f>
        <v>2700</v>
      </c>
      <c r="Q43" s="133">
        <f t="shared" ref="Q43" si="17">I43+M43</f>
        <v>2632</v>
      </c>
      <c r="R43" s="983">
        <f t="shared" si="5"/>
        <v>97.481481481481481</v>
      </c>
    </row>
    <row r="44" spans="2:18" ht="12" customHeight="1" x14ac:dyDescent="0.2">
      <c r="B44" s="132">
        <f t="shared" si="2"/>
        <v>40</v>
      </c>
      <c r="C44" s="126"/>
      <c r="D44" s="126"/>
      <c r="E44" s="162"/>
      <c r="F44" s="157"/>
      <c r="G44" s="193"/>
      <c r="H44" s="570"/>
      <c r="I44" s="570"/>
      <c r="J44" s="966"/>
      <c r="K44" s="128"/>
      <c r="L44" s="571"/>
      <c r="M44" s="571"/>
      <c r="N44" s="979"/>
      <c r="O44" s="128"/>
      <c r="P44" s="133"/>
      <c r="Q44" s="133"/>
      <c r="R44" s="983"/>
    </row>
    <row r="45" spans="2:18" ht="12" customHeight="1" x14ac:dyDescent="0.2">
      <c r="B45" s="132">
        <f t="shared" si="2"/>
        <v>41</v>
      </c>
      <c r="C45" s="126"/>
      <c r="D45" s="126"/>
      <c r="E45" s="162" t="s">
        <v>263</v>
      </c>
      <c r="F45" s="158">
        <v>717</v>
      </c>
      <c r="G45" s="193" t="s">
        <v>824</v>
      </c>
      <c r="H45" s="570"/>
      <c r="I45" s="570"/>
      <c r="J45" s="966"/>
      <c r="K45" s="128"/>
      <c r="L45" s="571">
        <v>30000</v>
      </c>
      <c r="M45" s="571">
        <v>29907</v>
      </c>
      <c r="N45" s="979">
        <f t="shared" si="8"/>
        <v>99.69</v>
      </c>
      <c r="O45" s="128"/>
      <c r="P45" s="133">
        <f t="shared" ref="P45" si="18">H45+L45</f>
        <v>30000</v>
      </c>
      <c r="Q45" s="133">
        <f t="shared" ref="Q45" si="19">I45+M45</f>
        <v>29907</v>
      </c>
      <c r="R45" s="983">
        <f t="shared" si="5"/>
        <v>99.69</v>
      </c>
    </row>
    <row r="46" spans="2:18" ht="12" customHeight="1" x14ac:dyDescent="0.2">
      <c r="B46" s="132">
        <f t="shared" si="2"/>
        <v>42</v>
      </c>
      <c r="C46" s="126"/>
      <c r="D46" s="126"/>
      <c r="E46" s="162"/>
      <c r="F46" s="702"/>
      <c r="G46" s="193"/>
      <c r="H46" s="570"/>
      <c r="I46" s="570"/>
      <c r="J46" s="966"/>
      <c r="K46" s="128"/>
      <c r="L46" s="571"/>
      <c r="M46" s="571"/>
      <c r="N46" s="979"/>
      <c r="O46" s="128"/>
      <c r="P46" s="133"/>
      <c r="Q46" s="133"/>
      <c r="R46" s="983"/>
    </row>
    <row r="47" spans="2:18" ht="12" customHeight="1" x14ac:dyDescent="0.2">
      <c r="B47" s="132">
        <f t="shared" si="2"/>
        <v>43</v>
      </c>
      <c r="C47" s="74"/>
      <c r="D47" s="199" t="s">
        <v>7</v>
      </c>
      <c r="E47" s="217" t="s">
        <v>263</v>
      </c>
      <c r="F47" s="218" t="s">
        <v>114</v>
      </c>
      <c r="G47" s="219"/>
      <c r="H47" s="376">
        <f>H48+H49+H60</f>
        <v>369100</v>
      </c>
      <c r="I47" s="376">
        <f t="shared" ref="I47" si="20">I48+I49+I60</f>
        <v>353304</v>
      </c>
      <c r="J47" s="965">
        <f t="shared" si="4"/>
        <v>95.720400975345427</v>
      </c>
      <c r="K47" s="20"/>
      <c r="L47" s="404">
        <f>L49+L61</f>
        <v>15600</v>
      </c>
      <c r="M47" s="404">
        <f t="shared" ref="M47" si="21">M49+M61</f>
        <v>14780</v>
      </c>
      <c r="N47" s="996">
        <f t="shared" si="8"/>
        <v>94.743589743589737</v>
      </c>
      <c r="O47" s="20"/>
      <c r="P47" s="210">
        <f t="shared" ref="P47:P57" si="22">H47+L47</f>
        <v>384700</v>
      </c>
      <c r="Q47" s="210">
        <f t="shared" ref="Q47:Q58" si="23">I47+M47</f>
        <v>368084</v>
      </c>
      <c r="R47" s="982">
        <f t="shared" si="5"/>
        <v>95.680790226150251</v>
      </c>
    </row>
    <row r="48" spans="2:18" ht="12" customHeight="1" x14ac:dyDescent="0.2">
      <c r="B48" s="132">
        <f t="shared" si="2"/>
        <v>44</v>
      </c>
      <c r="C48" s="126"/>
      <c r="D48" s="126"/>
      <c r="E48" s="130" t="s">
        <v>263</v>
      </c>
      <c r="F48" s="130">
        <v>637</v>
      </c>
      <c r="G48" s="214" t="s">
        <v>422</v>
      </c>
      <c r="H48" s="570">
        <v>2100</v>
      </c>
      <c r="I48" s="570">
        <v>1488</v>
      </c>
      <c r="J48" s="966">
        <f t="shared" si="4"/>
        <v>70.857142857142847</v>
      </c>
      <c r="K48" s="128"/>
      <c r="L48" s="570"/>
      <c r="M48" s="570"/>
      <c r="N48" s="966"/>
      <c r="O48" s="128"/>
      <c r="P48" s="572">
        <f t="shared" si="22"/>
        <v>2100</v>
      </c>
      <c r="Q48" s="572">
        <f t="shared" si="23"/>
        <v>1488</v>
      </c>
      <c r="R48" s="986">
        <f t="shared" si="5"/>
        <v>70.857142857142847</v>
      </c>
    </row>
    <row r="49" spans="2:18" ht="12" customHeight="1" x14ac:dyDescent="0.2">
      <c r="B49" s="132">
        <f t="shared" si="2"/>
        <v>45</v>
      </c>
      <c r="C49" s="126"/>
      <c r="D49" s="126"/>
      <c r="E49" s="130" t="s">
        <v>263</v>
      </c>
      <c r="F49" s="226" t="s">
        <v>540</v>
      </c>
      <c r="G49" s="226"/>
      <c r="H49" s="393">
        <f>H50+H51+H52+H57</f>
        <v>364000</v>
      </c>
      <c r="I49" s="393">
        <f t="shared" ref="I49" si="24">I50+I51+I52+I57</f>
        <v>351195</v>
      </c>
      <c r="J49" s="965">
        <f t="shared" si="4"/>
        <v>96.482142857142861</v>
      </c>
      <c r="K49" s="145"/>
      <c r="L49" s="387">
        <f>L58</f>
        <v>13000</v>
      </c>
      <c r="M49" s="387">
        <f t="shared" ref="M49" si="25">M58</f>
        <v>12380</v>
      </c>
      <c r="N49" s="965">
        <f t="shared" si="8"/>
        <v>95.230769230769226</v>
      </c>
      <c r="O49" s="145"/>
      <c r="P49" s="271">
        <f t="shared" si="22"/>
        <v>377000</v>
      </c>
      <c r="Q49" s="271">
        <f t="shared" si="23"/>
        <v>363575</v>
      </c>
      <c r="R49" s="1001">
        <f t="shared" si="5"/>
        <v>96.438992042440319</v>
      </c>
    </row>
    <row r="50" spans="2:18" ht="12" customHeight="1" x14ac:dyDescent="0.2">
      <c r="B50" s="132">
        <f t="shared" si="2"/>
        <v>46</v>
      </c>
      <c r="C50" s="126"/>
      <c r="D50" s="126"/>
      <c r="E50" s="154"/>
      <c r="F50" s="149">
        <v>610</v>
      </c>
      <c r="G50" s="201" t="s">
        <v>541</v>
      </c>
      <c r="H50" s="387">
        <v>114485</v>
      </c>
      <c r="I50" s="387">
        <v>112639</v>
      </c>
      <c r="J50" s="965">
        <f t="shared" si="4"/>
        <v>98.387561689304277</v>
      </c>
      <c r="K50" s="145"/>
      <c r="L50" s="387"/>
      <c r="M50" s="387"/>
      <c r="N50" s="965"/>
      <c r="O50" s="145"/>
      <c r="P50" s="150">
        <f t="shared" si="22"/>
        <v>114485</v>
      </c>
      <c r="Q50" s="150">
        <f t="shared" si="23"/>
        <v>112639</v>
      </c>
      <c r="R50" s="1001">
        <f t="shared" si="5"/>
        <v>98.387561689304277</v>
      </c>
    </row>
    <row r="51" spans="2:18" ht="12" customHeight="1" x14ac:dyDescent="0.2">
      <c r="B51" s="132">
        <f t="shared" si="2"/>
        <v>47</v>
      </c>
      <c r="C51" s="126"/>
      <c r="D51" s="126"/>
      <c r="E51" s="154"/>
      <c r="F51" s="149">
        <v>620</v>
      </c>
      <c r="G51" s="201" t="s">
        <v>472</v>
      </c>
      <c r="H51" s="387">
        <v>40300</v>
      </c>
      <c r="I51" s="387">
        <v>39214</v>
      </c>
      <c r="J51" s="965">
        <f t="shared" si="4"/>
        <v>97.305210918114142</v>
      </c>
      <c r="K51" s="145"/>
      <c r="L51" s="387"/>
      <c r="M51" s="387"/>
      <c r="N51" s="965"/>
      <c r="O51" s="145"/>
      <c r="P51" s="150">
        <f t="shared" si="22"/>
        <v>40300</v>
      </c>
      <c r="Q51" s="150">
        <f t="shared" si="23"/>
        <v>39214</v>
      </c>
      <c r="R51" s="1001">
        <f t="shared" si="5"/>
        <v>97.305210918114142</v>
      </c>
    </row>
    <row r="52" spans="2:18" ht="12" customHeight="1" x14ac:dyDescent="0.2">
      <c r="B52" s="132">
        <f t="shared" si="2"/>
        <v>48</v>
      </c>
      <c r="C52" s="126"/>
      <c r="D52" s="126"/>
      <c r="E52" s="130"/>
      <c r="F52" s="149">
        <v>630</v>
      </c>
      <c r="G52" s="201" t="s">
        <v>236</v>
      </c>
      <c r="H52" s="387">
        <f>SUM(H53:H56)</f>
        <v>209115</v>
      </c>
      <c r="I52" s="387">
        <f t="shared" ref="I52" si="26">SUM(I53:I56)</f>
        <v>199342</v>
      </c>
      <c r="J52" s="965">
        <f t="shared" si="4"/>
        <v>95.326494990794544</v>
      </c>
      <c r="K52" s="128"/>
      <c r="L52" s="570"/>
      <c r="M52" s="570"/>
      <c r="N52" s="966"/>
      <c r="O52" s="128"/>
      <c r="P52" s="150">
        <f t="shared" si="22"/>
        <v>209115</v>
      </c>
      <c r="Q52" s="150">
        <f t="shared" si="23"/>
        <v>199342</v>
      </c>
      <c r="R52" s="1001">
        <f t="shared" si="5"/>
        <v>95.326494990794544</v>
      </c>
    </row>
    <row r="53" spans="2:18" ht="12" customHeight="1" x14ac:dyDescent="0.2">
      <c r="B53" s="132">
        <f t="shared" si="2"/>
        <v>49</v>
      </c>
      <c r="C53" s="126"/>
      <c r="D53" s="126"/>
      <c r="E53" s="130"/>
      <c r="F53" s="157">
        <v>632</v>
      </c>
      <c r="G53" s="193" t="s">
        <v>246</v>
      </c>
      <c r="H53" s="570">
        <v>155000</v>
      </c>
      <c r="I53" s="570">
        <v>148580</v>
      </c>
      <c r="J53" s="966">
        <f t="shared" si="4"/>
        <v>95.858064516129033</v>
      </c>
      <c r="K53" s="128"/>
      <c r="L53" s="570"/>
      <c r="M53" s="570"/>
      <c r="N53" s="966"/>
      <c r="O53" s="128"/>
      <c r="P53" s="572">
        <f t="shared" si="22"/>
        <v>155000</v>
      </c>
      <c r="Q53" s="572">
        <f t="shared" si="23"/>
        <v>148580</v>
      </c>
      <c r="R53" s="986">
        <f t="shared" si="5"/>
        <v>95.858064516129033</v>
      </c>
    </row>
    <row r="54" spans="2:18" ht="12" customHeight="1" x14ac:dyDescent="0.2">
      <c r="B54" s="132">
        <f t="shared" si="2"/>
        <v>50</v>
      </c>
      <c r="C54" s="126"/>
      <c r="D54" s="126"/>
      <c r="E54" s="130"/>
      <c r="F54" s="157">
        <v>633</v>
      </c>
      <c r="G54" s="193" t="s">
        <v>247</v>
      </c>
      <c r="H54" s="570">
        <f>18115+1000</f>
        <v>19115</v>
      </c>
      <c r="I54" s="570">
        <v>18944</v>
      </c>
      <c r="J54" s="966">
        <f t="shared" si="4"/>
        <v>99.105414595867131</v>
      </c>
      <c r="K54" s="128"/>
      <c r="L54" s="570"/>
      <c r="M54" s="570"/>
      <c r="N54" s="966"/>
      <c r="O54" s="128"/>
      <c r="P54" s="572">
        <f t="shared" si="22"/>
        <v>19115</v>
      </c>
      <c r="Q54" s="572">
        <f t="shared" si="23"/>
        <v>18944</v>
      </c>
      <c r="R54" s="986">
        <f t="shared" si="5"/>
        <v>99.105414595867131</v>
      </c>
    </row>
    <row r="55" spans="2:18" ht="12" customHeight="1" x14ac:dyDescent="0.2">
      <c r="B55" s="132">
        <f t="shared" si="2"/>
        <v>51</v>
      </c>
      <c r="C55" s="126"/>
      <c r="D55" s="126"/>
      <c r="E55" s="130"/>
      <c r="F55" s="157">
        <v>635</v>
      </c>
      <c r="G55" s="193" t="s">
        <v>261</v>
      </c>
      <c r="H55" s="570">
        <f>15000+1500+1500</f>
        <v>18000</v>
      </c>
      <c r="I55" s="570">
        <v>16909</v>
      </c>
      <c r="J55" s="966">
        <f t="shared" si="4"/>
        <v>93.938888888888897</v>
      </c>
      <c r="K55" s="128"/>
      <c r="L55" s="570"/>
      <c r="M55" s="570"/>
      <c r="N55" s="966"/>
      <c r="O55" s="128"/>
      <c r="P55" s="572">
        <f t="shared" si="22"/>
        <v>18000</v>
      </c>
      <c r="Q55" s="572">
        <f t="shared" si="23"/>
        <v>16909</v>
      </c>
      <c r="R55" s="986">
        <f t="shared" si="5"/>
        <v>93.938888888888897</v>
      </c>
    </row>
    <row r="56" spans="2:18" ht="12" customHeight="1" x14ac:dyDescent="0.2">
      <c r="B56" s="132">
        <f t="shared" si="2"/>
        <v>52</v>
      </c>
      <c r="C56" s="126"/>
      <c r="D56" s="126"/>
      <c r="E56" s="130"/>
      <c r="F56" s="157">
        <v>637</v>
      </c>
      <c r="G56" s="193" t="s">
        <v>248</v>
      </c>
      <c r="H56" s="570">
        <v>17000</v>
      </c>
      <c r="I56" s="570">
        <v>14909</v>
      </c>
      <c r="J56" s="966">
        <f t="shared" si="4"/>
        <v>87.7</v>
      </c>
      <c r="K56" s="128"/>
      <c r="L56" s="570"/>
      <c r="M56" s="570"/>
      <c r="N56" s="966"/>
      <c r="O56" s="128"/>
      <c r="P56" s="572">
        <f t="shared" si="22"/>
        <v>17000</v>
      </c>
      <c r="Q56" s="572">
        <f t="shared" si="23"/>
        <v>14909</v>
      </c>
      <c r="R56" s="986">
        <f t="shared" si="5"/>
        <v>87.7</v>
      </c>
    </row>
    <row r="57" spans="2:18" ht="12" customHeight="1" x14ac:dyDescent="0.2">
      <c r="B57" s="132">
        <f t="shared" si="2"/>
        <v>53</v>
      </c>
      <c r="C57" s="126"/>
      <c r="D57" s="126"/>
      <c r="E57" s="130"/>
      <c r="F57" s="149">
        <v>640</v>
      </c>
      <c r="G57" s="201" t="s">
        <v>425</v>
      </c>
      <c r="H57" s="387">
        <v>100</v>
      </c>
      <c r="I57" s="387">
        <v>0</v>
      </c>
      <c r="J57" s="965">
        <f t="shared" si="4"/>
        <v>0</v>
      </c>
      <c r="K57" s="128"/>
      <c r="L57" s="570"/>
      <c r="M57" s="570"/>
      <c r="N57" s="966"/>
      <c r="O57" s="128"/>
      <c r="P57" s="150">
        <f t="shared" si="22"/>
        <v>100</v>
      </c>
      <c r="Q57" s="150">
        <f t="shared" si="23"/>
        <v>0</v>
      </c>
      <c r="R57" s="1001">
        <f t="shared" si="5"/>
        <v>0</v>
      </c>
    </row>
    <row r="58" spans="2:18" ht="12" customHeight="1" x14ac:dyDescent="0.2">
      <c r="B58" s="132">
        <f t="shared" si="2"/>
        <v>54</v>
      </c>
      <c r="C58" s="126"/>
      <c r="D58" s="126"/>
      <c r="E58" s="130"/>
      <c r="F58" s="157">
        <v>718</v>
      </c>
      <c r="G58" s="214" t="s">
        <v>646</v>
      </c>
      <c r="H58" s="570"/>
      <c r="I58" s="570"/>
      <c r="J58" s="966"/>
      <c r="K58" s="128"/>
      <c r="L58" s="571">
        <v>13000</v>
      </c>
      <c r="M58" s="571">
        <v>12380</v>
      </c>
      <c r="N58" s="979">
        <f t="shared" si="8"/>
        <v>95.230769230769226</v>
      </c>
      <c r="O58" s="128"/>
      <c r="P58" s="133">
        <f>H58+L58</f>
        <v>13000</v>
      </c>
      <c r="Q58" s="133">
        <f t="shared" si="23"/>
        <v>12380</v>
      </c>
      <c r="R58" s="983">
        <f t="shared" si="5"/>
        <v>95.230769230769226</v>
      </c>
    </row>
    <row r="59" spans="2:18" ht="12" customHeight="1" x14ac:dyDescent="0.2">
      <c r="B59" s="132">
        <f t="shared" si="2"/>
        <v>55</v>
      </c>
      <c r="C59" s="126"/>
      <c r="D59" s="126"/>
      <c r="E59" s="130"/>
      <c r="F59" s="157"/>
      <c r="G59" s="214"/>
      <c r="H59" s="570"/>
      <c r="I59" s="570"/>
      <c r="J59" s="966"/>
      <c r="K59" s="128"/>
      <c r="L59" s="571"/>
      <c r="M59" s="571"/>
      <c r="N59" s="979"/>
      <c r="O59" s="128"/>
      <c r="P59" s="133"/>
      <c r="Q59" s="133"/>
      <c r="R59" s="983"/>
    </row>
    <row r="60" spans="2:18" ht="12" customHeight="1" x14ac:dyDescent="0.2">
      <c r="B60" s="132">
        <f t="shared" si="2"/>
        <v>56</v>
      </c>
      <c r="C60" s="126"/>
      <c r="D60" s="126"/>
      <c r="E60" s="130" t="s">
        <v>263</v>
      </c>
      <c r="F60" s="226" t="s">
        <v>542</v>
      </c>
      <c r="G60" s="226"/>
      <c r="H60" s="393">
        <f>100000-85000-9000-3000</f>
        <v>3000</v>
      </c>
      <c r="I60" s="393">
        <v>621</v>
      </c>
      <c r="J60" s="965">
        <f t="shared" si="4"/>
        <v>20.7</v>
      </c>
      <c r="K60" s="128"/>
      <c r="L60" s="570"/>
      <c r="M60" s="570"/>
      <c r="N60" s="966"/>
      <c r="O60" s="128"/>
      <c r="P60" s="271">
        <f t="shared" ref="P60:P61" si="27">H60+L60</f>
        <v>3000</v>
      </c>
      <c r="Q60" s="271">
        <f t="shared" ref="Q60:Q61" si="28">I60+M60</f>
        <v>621</v>
      </c>
      <c r="R60" s="1001">
        <f t="shared" si="5"/>
        <v>20.7</v>
      </c>
    </row>
    <row r="61" spans="2:18" ht="12" customHeight="1" x14ac:dyDescent="0.2">
      <c r="B61" s="132">
        <f t="shared" si="2"/>
        <v>57</v>
      </c>
      <c r="C61" s="126"/>
      <c r="D61" s="126"/>
      <c r="E61" s="162"/>
      <c r="F61" s="130">
        <v>717</v>
      </c>
      <c r="G61" s="214" t="s">
        <v>432</v>
      </c>
      <c r="H61" s="570"/>
      <c r="I61" s="570"/>
      <c r="J61" s="966"/>
      <c r="K61" s="128"/>
      <c r="L61" s="571">
        <f>1400+1200</f>
        <v>2600</v>
      </c>
      <c r="M61" s="571">
        <v>2400</v>
      </c>
      <c r="N61" s="979">
        <f t="shared" si="8"/>
        <v>92.307692307692307</v>
      </c>
      <c r="O61" s="128"/>
      <c r="P61" s="572">
        <f t="shared" si="27"/>
        <v>2600</v>
      </c>
      <c r="Q61" s="572">
        <f t="shared" si="28"/>
        <v>2400</v>
      </c>
      <c r="R61" s="986">
        <f t="shared" si="5"/>
        <v>92.307692307692307</v>
      </c>
    </row>
    <row r="62" spans="2:18" ht="15" customHeight="1" x14ac:dyDescent="0.2">
      <c r="B62" s="132">
        <f t="shared" si="2"/>
        <v>58</v>
      </c>
      <c r="C62" s="126"/>
      <c r="D62" s="126"/>
      <c r="E62" s="162"/>
      <c r="F62" s="157"/>
      <c r="G62" s="214"/>
      <c r="H62" s="570"/>
      <c r="I62" s="570"/>
      <c r="J62" s="966"/>
      <c r="K62" s="128"/>
      <c r="L62" s="570"/>
      <c r="M62" s="570"/>
      <c r="N62" s="966"/>
      <c r="O62" s="128"/>
      <c r="P62" s="133"/>
      <c r="Q62" s="133"/>
      <c r="R62" s="983"/>
    </row>
    <row r="63" spans="2:18" ht="12" customHeight="1" x14ac:dyDescent="0.2">
      <c r="B63" s="132">
        <f t="shared" si="2"/>
        <v>59</v>
      </c>
      <c r="C63" s="126"/>
      <c r="D63" s="199" t="s">
        <v>8</v>
      </c>
      <c r="E63" s="217" t="s">
        <v>263</v>
      </c>
      <c r="F63" s="218" t="s">
        <v>305</v>
      </c>
      <c r="G63" s="219"/>
      <c r="H63" s="376"/>
      <c r="I63" s="376"/>
      <c r="J63" s="965"/>
      <c r="K63" s="20"/>
      <c r="L63" s="580">
        <v>0</v>
      </c>
      <c r="M63" s="580"/>
      <c r="N63" s="965"/>
      <c r="O63" s="20"/>
      <c r="P63" s="210">
        <f>H63+L63</f>
        <v>0</v>
      </c>
      <c r="Q63" s="210">
        <f t="shared" ref="Q63" si="29">I63+M63</f>
        <v>0</v>
      </c>
      <c r="R63" s="982"/>
    </row>
    <row r="64" spans="2:18" ht="12" customHeight="1" x14ac:dyDescent="0.2">
      <c r="B64" s="132">
        <f t="shared" si="2"/>
        <v>60</v>
      </c>
      <c r="C64" s="126"/>
      <c r="D64" s="126"/>
      <c r="E64" s="162"/>
      <c r="F64" s="157"/>
      <c r="G64" s="214"/>
      <c r="H64" s="570"/>
      <c r="I64" s="570"/>
      <c r="J64" s="966"/>
      <c r="K64" s="128"/>
      <c r="L64" s="570"/>
      <c r="M64" s="570"/>
      <c r="N64" s="966"/>
      <c r="O64" s="128"/>
      <c r="P64" s="133"/>
      <c r="Q64" s="133"/>
      <c r="R64" s="983"/>
    </row>
    <row r="65" spans="2:18" ht="15" customHeight="1" x14ac:dyDescent="0.25">
      <c r="B65" s="132">
        <f t="shared" si="2"/>
        <v>61</v>
      </c>
      <c r="C65" s="23">
        <v>4</v>
      </c>
      <c r="D65" s="123" t="s">
        <v>468</v>
      </c>
      <c r="E65" s="24"/>
      <c r="F65" s="24"/>
      <c r="G65" s="192"/>
      <c r="H65" s="416">
        <f>H66</f>
        <v>60000</v>
      </c>
      <c r="I65" s="416">
        <f t="shared" ref="I65" si="30">I66</f>
        <v>44678</v>
      </c>
      <c r="J65" s="971">
        <f t="shared" si="4"/>
        <v>74.463333333333338</v>
      </c>
      <c r="K65" s="86"/>
      <c r="L65" s="378">
        <f>L77+L76</f>
        <v>8000</v>
      </c>
      <c r="M65" s="378">
        <f t="shared" ref="M65" si="31">M77+M76</f>
        <v>1499</v>
      </c>
      <c r="N65" s="971">
        <f t="shared" si="8"/>
        <v>18.737500000000001</v>
      </c>
      <c r="O65" s="86"/>
      <c r="P65" s="373">
        <f t="shared" ref="P65:P77" si="32">H65+L65</f>
        <v>68000</v>
      </c>
      <c r="Q65" s="373">
        <f t="shared" ref="Q65:Q74" si="33">I65+M65</f>
        <v>46177</v>
      </c>
      <c r="R65" s="984">
        <f t="shared" si="5"/>
        <v>67.90735294117647</v>
      </c>
    </row>
    <row r="66" spans="2:18" ht="12" customHeight="1" x14ac:dyDescent="0.2">
      <c r="B66" s="132">
        <f t="shared" si="2"/>
        <v>62</v>
      </c>
      <c r="C66" s="131"/>
      <c r="D66" s="131"/>
      <c r="E66" s="157" t="s">
        <v>263</v>
      </c>
      <c r="F66" s="226" t="s">
        <v>473</v>
      </c>
      <c r="G66" s="226"/>
      <c r="H66" s="393">
        <f>H67+H68+H69</f>
        <v>60000</v>
      </c>
      <c r="I66" s="393">
        <f t="shared" ref="I66" si="34">I67+I68+I69</f>
        <v>44678</v>
      </c>
      <c r="J66" s="965">
        <f t="shared" si="4"/>
        <v>74.463333333333338</v>
      </c>
      <c r="K66" s="128"/>
      <c r="L66" s="570"/>
      <c r="M66" s="570"/>
      <c r="N66" s="966"/>
      <c r="O66" s="128"/>
      <c r="P66" s="271">
        <f t="shared" si="32"/>
        <v>60000</v>
      </c>
      <c r="Q66" s="271">
        <f t="shared" si="33"/>
        <v>44678</v>
      </c>
      <c r="R66" s="1001">
        <f t="shared" si="5"/>
        <v>74.463333333333338</v>
      </c>
    </row>
    <row r="67" spans="2:18" ht="12" customHeight="1" x14ac:dyDescent="0.2">
      <c r="B67" s="132">
        <f t="shared" si="2"/>
        <v>63</v>
      </c>
      <c r="C67" s="142"/>
      <c r="D67" s="142"/>
      <c r="E67" s="149"/>
      <c r="F67" s="149">
        <v>610</v>
      </c>
      <c r="G67" s="201" t="s">
        <v>257</v>
      </c>
      <c r="H67" s="387">
        <v>7000</v>
      </c>
      <c r="I67" s="387">
        <v>6935</v>
      </c>
      <c r="J67" s="965">
        <f t="shared" si="4"/>
        <v>99.071428571428584</v>
      </c>
      <c r="K67" s="145"/>
      <c r="L67" s="387"/>
      <c r="M67" s="387"/>
      <c r="N67" s="965"/>
      <c r="O67" s="145"/>
      <c r="P67" s="150">
        <f t="shared" si="32"/>
        <v>7000</v>
      </c>
      <c r="Q67" s="150">
        <f t="shared" si="33"/>
        <v>6935</v>
      </c>
      <c r="R67" s="1001">
        <f t="shared" si="5"/>
        <v>99.071428571428584</v>
      </c>
    </row>
    <row r="68" spans="2:18" ht="12" customHeight="1" x14ac:dyDescent="0.2">
      <c r="B68" s="132">
        <f t="shared" si="2"/>
        <v>64</v>
      </c>
      <c r="C68" s="126"/>
      <c r="D68" s="126"/>
      <c r="E68" s="130"/>
      <c r="F68" s="149">
        <v>620</v>
      </c>
      <c r="G68" s="201" t="s">
        <v>259</v>
      </c>
      <c r="H68" s="387">
        <v>2930</v>
      </c>
      <c r="I68" s="387">
        <v>2775</v>
      </c>
      <c r="J68" s="965">
        <f t="shared" si="4"/>
        <v>94.709897610921502</v>
      </c>
      <c r="K68" s="128"/>
      <c r="L68" s="570"/>
      <c r="M68" s="570"/>
      <c r="N68" s="966"/>
      <c r="O68" s="128"/>
      <c r="P68" s="150">
        <f t="shared" si="32"/>
        <v>2930</v>
      </c>
      <c r="Q68" s="150">
        <f t="shared" si="33"/>
        <v>2775</v>
      </c>
      <c r="R68" s="1001">
        <f t="shared" si="5"/>
        <v>94.709897610921502</v>
      </c>
    </row>
    <row r="69" spans="2:18" ht="12" customHeight="1" x14ac:dyDescent="0.2">
      <c r="B69" s="132">
        <f t="shared" si="2"/>
        <v>65</v>
      </c>
      <c r="C69" s="126"/>
      <c r="D69" s="126"/>
      <c r="E69" s="130"/>
      <c r="F69" s="149">
        <v>630</v>
      </c>
      <c r="G69" s="201" t="s">
        <v>249</v>
      </c>
      <c r="H69" s="387">
        <f>SUM(H70:H74)</f>
        <v>50070</v>
      </c>
      <c r="I69" s="387">
        <f t="shared" ref="I69" si="35">SUM(I70:I74)</f>
        <v>34968</v>
      </c>
      <c r="J69" s="965">
        <f t="shared" si="4"/>
        <v>69.838226482923901</v>
      </c>
      <c r="K69" s="128"/>
      <c r="L69" s="570"/>
      <c r="M69" s="570"/>
      <c r="N69" s="966"/>
      <c r="O69" s="128"/>
      <c r="P69" s="150">
        <f t="shared" si="32"/>
        <v>50070</v>
      </c>
      <c r="Q69" s="150">
        <f t="shared" si="33"/>
        <v>34968</v>
      </c>
      <c r="R69" s="1001">
        <f t="shared" si="5"/>
        <v>69.838226482923901</v>
      </c>
    </row>
    <row r="70" spans="2:18" ht="12" customHeight="1" x14ac:dyDescent="0.2">
      <c r="B70" s="132">
        <f t="shared" si="2"/>
        <v>66</v>
      </c>
      <c r="C70" s="126"/>
      <c r="D70" s="126"/>
      <c r="E70" s="130"/>
      <c r="F70" s="130">
        <v>633</v>
      </c>
      <c r="G70" s="193" t="s">
        <v>247</v>
      </c>
      <c r="H70" s="570">
        <f>45900-6750</f>
        <v>39150</v>
      </c>
      <c r="I70" s="570">
        <v>25139</v>
      </c>
      <c r="J70" s="966">
        <f t="shared" ref="J70:J74" si="36">I70/H70*100</f>
        <v>64.212005108556838</v>
      </c>
      <c r="K70" s="128"/>
      <c r="L70" s="570"/>
      <c r="M70" s="570"/>
      <c r="N70" s="966"/>
      <c r="O70" s="128"/>
      <c r="P70" s="572">
        <f t="shared" si="32"/>
        <v>39150</v>
      </c>
      <c r="Q70" s="572">
        <f t="shared" si="33"/>
        <v>25139</v>
      </c>
      <c r="R70" s="986">
        <f t="shared" ref="R70:R77" si="37">Q70/P70*100</f>
        <v>64.212005108556838</v>
      </c>
    </row>
    <row r="71" spans="2:18" ht="12" customHeight="1" x14ac:dyDescent="0.2">
      <c r="B71" s="132">
        <f t="shared" si="2"/>
        <v>67</v>
      </c>
      <c r="C71" s="126"/>
      <c r="D71" s="126"/>
      <c r="E71" s="130"/>
      <c r="F71" s="130">
        <v>634</v>
      </c>
      <c r="G71" s="193" t="s">
        <v>260</v>
      </c>
      <c r="H71" s="570">
        <v>900</v>
      </c>
      <c r="I71" s="570">
        <v>861</v>
      </c>
      <c r="J71" s="966">
        <f t="shared" si="36"/>
        <v>95.666666666666671</v>
      </c>
      <c r="K71" s="128"/>
      <c r="L71" s="570"/>
      <c r="M71" s="570"/>
      <c r="N71" s="966"/>
      <c r="O71" s="128"/>
      <c r="P71" s="572">
        <f t="shared" si="32"/>
        <v>900</v>
      </c>
      <c r="Q71" s="572">
        <f t="shared" si="33"/>
        <v>861</v>
      </c>
      <c r="R71" s="986">
        <f t="shared" si="37"/>
        <v>95.666666666666671</v>
      </c>
    </row>
    <row r="72" spans="2:18" ht="12" customHeight="1" x14ac:dyDescent="0.2">
      <c r="B72" s="132">
        <f t="shared" si="2"/>
        <v>68</v>
      </c>
      <c r="C72" s="126"/>
      <c r="D72" s="126"/>
      <c r="E72" s="130"/>
      <c r="F72" s="130">
        <v>635</v>
      </c>
      <c r="G72" s="193" t="s">
        <v>261</v>
      </c>
      <c r="H72" s="570">
        <f>1000+6750</f>
        <v>7750</v>
      </c>
      <c r="I72" s="570">
        <v>7512</v>
      </c>
      <c r="J72" s="966">
        <f t="shared" si="36"/>
        <v>96.929032258064524</v>
      </c>
      <c r="K72" s="128"/>
      <c r="L72" s="570"/>
      <c r="M72" s="570"/>
      <c r="N72" s="966"/>
      <c r="O72" s="128"/>
      <c r="P72" s="572">
        <f t="shared" si="32"/>
        <v>7750</v>
      </c>
      <c r="Q72" s="572">
        <f t="shared" si="33"/>
        <v>7512</v>
      </c>
      <c r="R72" s="986">
        <f t="shared" si="37"/>
        <v>96.929032258064524</v>
      </c>
    </row>
    <row r="73" spans="2:18" ht="12" customHeight="1" x14ac:dyDescent="0.2">
      <c r="B73" s="132">
        <f t="shared" si="2"/>
        <v>69</v>
      </c>
      <c r="C73" s="126"/>
      <c r="D73" s="126"/>
      <c r="E73" s="130"/>
      <c r="F73" s="130">
        <v>636</v>
      </c>
      <c r="G73" s="193" t="s">
        <v>347</v>
      </c>
      <c r="H73" s="570">
        <v>50</v>
      </c>
      <c r="I73" s="570">
        <v>30</v>
      </c>
      <c r="J73" s="966">
        <f t="shared" si="36"/>
        <v>60</v>
      </c>
      <c r="K73" s="128"/>
      <c r="L73" s="570"/>
      <c r="M73" s="570"/>
      <c r="N73" s="966"/>
      <c r="O73" s="128"/>
      <c r="P73" s="572">
        <f t="shared" si="32"/>
        <v>50</v>
      </c>
      <c r="Q73" s="572">
        <f t="shared" si="33"/>
        <v>30</v>
      </c>
      <c r="R73" s="986">
        <f t="shared" si="37"/>
        <v>60</v>
      </c>
    </row>
    <row r="74" spans="2:18" ht="12" customHeight="1" x14ac:dyDescent="0.2">
      <c r="B74" s="132">
        <f t="shared" si="2"/>
        <v>70</v>
      </c>
      <c r="C74" s="126"/>
      <c r="D74" s="126"/>
      <c r="E74" s="130"/>
      <c r="F74" s="130">
        <v>637</v>
      </c>
      <c r="G74" s="193" t="s">
        <v>248</v>
      </c>
      <c r="H74" s="570">
        <v>2220</v>
      </c>
      <c r="I74" s="570">
        <v>1426</v>
      </c>
      <c r="J74" s="966">
        <f t="shared" si="36"/>
        <v>64.234234234234236</v>
      </c>
      <c r="K74" s="128"/>
      <c r="L74" s="570"/>
      <c r="M74" s="570"/>
      <c r="N74" s="966"/>
      <c r="O74" s="128"/>
      <c r="P74" s="572">
        <f t="shared" si="32"/>
        <v>2220</v>
      </c>
      <c r="Q74" s="572">
        <f t="shared" si="33"/>
        <v>1426</v>
      </c>
      <c r="R74" s="986">
        <f t="shared" si="37"/>
        <v>64.234234234234236</v>
      </c>
    </row>
    <row r="75" spans="2:18" ht="12" customHeight="1" x14ac:dyDescent="0.2">
      <c r="B75" s="695">
        <f>B74+1</f>
        <v>71</v>
      </c>
      <c r="C75" s="180"/>
      <c r="D75" s="180"/>
      <c r="E75" s="181"/>
      <c r="F75" s="181"/>
      <c r="G75" s="806"/>
      <c r="H75" s="571"/>
      <c r="I75" s="571"/>
      <c r="J75" s="979"/>
      <c r="K75" s="128"/>
      <c r="L75" s="571"/>
      <c r="M75" s="571"/>
      <c r="N75" s="979"/>
      <c r="O75" s="128"/>
      <c r="P75" s="133"/>
      <c r="Q75" s="133"/>
      <c r="R75" s="983"/>
    </row>
    <row r="76" spans="2:18" ht="12" customHeight="1" x14ac:dyDescent="0.2">
      <c r="B76" s="675">
        <f t="shared" ref="B76:B77" si="38">B75+1</f>
        <v>72</v>
      </c>
      <c r="C76" s="568"/>
      <c r="D76" s="568"/>
      <c r="E76" s="568"/>
      <c r="F76" s="811">
        <v>716</v>
      </c>
      <c r="G76" s="812" t="s">
        <v>799</v>
      </c>
      <c r="H76" s="755"/>
      <c r="I76" s="755"/>
      <c r="J76" s="966"/>
      <c r="K76" s="813"/>
      <c r="L76" s="755">
        <v>3000</v>
      </c>
      <c r="M76" s="755">
        <v>1499</v>
      </c>
      <c r="N76" s="966">
        <f t="shared" ref="N76:N77" si="39">M76/L76*100</f>
        <v>49.966666666666661</v>
      </c>
      <c r="O76" s="813"/>
      <c r="P76" s="814">
        <f t="shared" ref="P76" si="40">H76+L76</f>
        <v>3000</v>
      </c>
      <c r="Q76" s="814">
        <f t="shared" ref="Q76:Q77" si="41">I76+M76</f>
        <v>1499</v>
      </c>
      <c r="R76" s="1022">
        <f t="shared" si="37"/>
        <v>49.966666666666661</v>
      </c>
    </row>
    <row r="77" spans="2:18" ht="12" customHeight="1" thickBot="1" x14ac:dyDescent="0.25">
      <c r="B77" s="675">
        <f t="shared" si="38"/>
        <v>73</v>
      </c>
      <c r="C77" s="213"/>
      <c r="D77" s="213"/>
      <c r="E77" s="213"/>
      <c r="F77" s="807">
        <v>717</v>
      </c>
      <c r="G77" s="808" t="s">
        <v>826</v>
      </c>
      <c r="H77" s="782"/>
      <c r="I77" s="782"/>
      <c r="J77" s="991"/>
      <c r="K77" s="809"/>
      <c r="L77" s="782">
        <v>5000</v>
      </c>
      <c r="M77" s="782">
        <v>0</v>
      </c>
      <c r="N77" s="991">
        <f t="shared" si="39"/>
        <v>0</v>
      </c>
      <c r="O77" s="809"/>
      <c r="P77" s="810">
        <f t="shared" si="32"/>
        <v>5000</v>
      </c>
      <c r="Q77" s="810">
        <f t="shared" si="41"/>
        <v>0</v>
      </c>
      <c r="R77" s="1023">
        <f t="shared" si="37"/>
        <v>0</v>
      </c>
    </row>
    <row r="78" spans="2:18" ht="15" customHeight="1" x14ac:dyDescent="0.2">
      <c r="B78" s="306"/>
      <c r="C78" s="307"/>
      <c r="D78" s="129"/>
      <c r="E78" s="129"/>
      <c r="F78" s="129"/>
      <c r="G78" s="129"/>
      <c r="H78" s="249"/>
      <c r="I78" s="249"/>
      <c r="J78" s="249"/>
      <c r="K78" s="249"/>
      <c r="L78" s="249"/>
      <c r="M78" s="249"/>
      <c r="N78" s="249"/>
      <c r="O78" s="249"/>
      <c r="P78" s="249"/>
    </row>
  </sheetData>
  <mergeCells count="14">
    <mergeCell ref="Q2:Q4"/>
    <mergeCell ref="R2:R4"/>
    <mergeCell ref="I3:I4"/>
    <mergeCell ref="J3:J4"/>
    <mergeCell ref="M3:M4"/>
    <mergeCell ref="N3:N4"/>
    <mergeCell ref="B2:N2"/>
    <mergeCell ref="P2:P4"/>
    <mergeCell ref="C3:C4"/>
    <mergeCell ref="D3:D4"/>
    <mergeCell ref="E3:E4"/>
    <mergeCell ref="F3:F4"/>
    <mergeCell ref="H3:H4"/>
    <mergeCell ref="L3:L4"/>
  </mergeCells>
  <pageMargins left="0.70866141732283472" right="0.2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12</vt:i4>
      </vt:variant>
    </vt:vector>
  </HeadingPairs>
  <TitlesOfParts>
    <vt:vector size="26" baseType="lpstr">
      <vt:lpstr>Príjmy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Sumarizácia</vt:lpstr>
      <vt:lpstr>'P1'!Oblasť_tlače</vt:lpstr>
      <vt:lpstr>'P10'!Oblasť_tlače</vt:lpstr>
      <vt:lpstr>'P11'!Oblasť_tlače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'P8'!Oblasť_tlače</vt:lpstr>
      <vt:lpstr>Príjmy!Oblasť_tlače</vt:lpstr>
      <vt:lpstr>Sumarizácia!Oblasť_tlače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Žilková Andrea, Ing.</cp:lastModifiedBy>
  <cp:lastPrinted>2016-02-11T11:35:15Z</cp:lastPrinted>
  <dcterms:created xsi:type="dcterms:W3CDTF">2006-06-21T07:20:26Z</dcterms:created>
  <dcterms:modified xsi:type="dcterms:W3CDTF">2016-02-22T12:04:32Z</dcterms:modified>
</cp:coreProperties>
</file>